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6555" windowHeight="4590" activeTab="0"/>
  </bookViews>
  <sheets>
    <sheet name="Show" sheetId="1" r:id="rId1"/>
    <sheet name="Control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<sst xmlns="http://schemas.openxmlformats.org/spreadsheetml/2006/main" count="65" uniqueCount="56">
  <si>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Capex</t>
  </si>
  <si>
    <t>NPV</t>
  </si>
  <si>
    <t>IRR</t>
  </si>
  <si>
    <t>CIT</t>
  </si>
  <si>
    <t>CUM</t>
  </si>
  <si>
    <t>IOC Profit</t>
  </si>
  <si>
    <t>Gov Share</t>
  </si>
  <si>
    <t>proge</t>
  </si>
  <si>
    <t>Decline Rate</t>
  </si>
  <si>
    <t>fy</t>
  </si>
  <si>
    <t>fywhp</t>
  </si>
  <si>
    <t>calyrwhp</t>
  </si>
  <si>
    <t>spring 2007 RSB</t>
  </si>
  <si>
    <t>Conoco</t>
  </si>
  <si>
    <t>InvCredit</t>
  </si>
  <si>
    <t>CIT base</t>
  </si>
  <si>
    <t>Post 2007</t>
  </si>
  <si>
    <t>Use FY actuals to convert to Calendar year price</t>
  </si>
  <si>
    <t>Drilling Prgram Year</t>
  </si>
  <si>
    <t>Capex Multiplier</t>
  </si>
  <si>
    <t>Discount Rate</t>
  </si>
  <si>
    <t>Royalty</t>
  </si>
  <si>
    <t>Net Tax Rate</t>
  </si>
  <si>
    <t>Progressivity</t>
  </si>
  <si>
    <t>Opex Multiplier</t>
  </si>
  <si>
    <t>Production Multiplier</t>
  </si>
  <si>
    <t>Price</t>
  </si>
  <si>
    <t>Alaska</t>
  </si>
  <si>
    <t>MMbls</t>
  </si>
  <si>
    <t>$/bbl</t>
  </si>
  <si>
    <t>Alaska NPV0 Take</t>
  </si>
  <si>
    <t xml:space="preserve">Take at </t>
  </si>
  <si>
    <t>Deprection (Assume 7 yr MACRS)</t>
  </si>
  <si>
    <t>Depreciation</t>
  </si>
  <si>
    <t>Company Revenue</t>
  </si>
  <si>
    <t>Field Revenue</t>
  </si>
  <si>
    <t>Production (Bopd)</t>
  </si>
  <si>
    <t>Oil Price</t>
  </si>
  <si>
    <t>Opex ($/Bbl)</t>
  </si>
  <si>
    <t>Opex ($)</t>
  </si>
  <si>
    <t>Operating Revenue</t>
  </si>
  <si>
    <t>PPT Income</t>
  </si>
  <si>
    <t>PPT payable</t>
  </si>
  <si>
    <t>Net CF/Bbl</t>
  </si>
  <si>
    <t>NetCashFlow</t>
  </si>
  <si>
    <t>Progressivity Start</t>
  </si>
  <si>
    <t>NPV (+)</t>
  </si>
  <si>
    <t>NPV (-)</t>
  </si>
  <si>
    <t>Company NetCashFlow (-)</t>
  </si>
  <si>
    <t>Company NetCashFlow (+)</t>
  </si>
  <si>
    <t>Alaska Tax (-)</t>
  </si>
  <si>
    <t>Alaska Tax (+)</t>
  </si>
  <si>
    <t>Actuals/Fcst</t>
  </si>
  <si>
    <t>Fcst Only</t>
  </si>
  <si>
    <t>Depr as Cash</t>
  </si>
  <si>
    <t>Modeling the Prudhoe Success contained in AOGA/BP Testimony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</si>
</sst>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_);[Red]\(#,##0.0\)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3.25"/>
      <name val="Arial"/>
      <family val="2"/>
    </font>
    <font>
      <b/>
      <sz val="8"/>
      <name val="Arial"/>
      <family val="0"/>
    </font>
    <font>
      <b/>
      <sz val="13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9" fontId="0" fillId="0" borderId="0" xfId="19" applyAlignment="1">
      <alignment/>
    </xf>
    <xf numFmtId="164" fontId="0" fillId="4" borderId="0" xfId="0" applyNumberFormat="1" applyFill="1" applyBorder="1" applyAlignment="1">
      <alignment/>
    </xf>
    <xf numFmtId="164" fontId="0" fillId="4" borderId="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19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5" borderId="0" xfId="0" applyFill="1" applyAlignment="1">
      <alignment/>
    </xf>
    <xf numFmtId="10" fontId="0" fillId="0" borderId="0" xfId="19" applyNumberFormat="1" applyAlignment="1">
      <alignment/>
    </xf>
    <xf numFmtId="0" fontId="0" fillId="3" borderId="0" xfId="0" applyFill="1" applyAlignment="1">
      <alignment/>
    </xf>
    <xf numFmtId="5" fontId="0" fillId="3" borderId="0" xfId="17" applyNumberFormat="1" applyFill="1" applyAlignment="1">
      <alignment/>
    </xf>
    <xf numFmtId="5" fontId="0" fillId="0" borderId="0" xfId="17" applyNumberForma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5" borderId="0" xfId="0" applyNumberFormat="1" applyFill="1" applyAlignment="1">
      <alignment horizontal="center"/>
    </xf>
    <xf numFmtId="38" fontId="0" fillId="0" borderId="0" xfId="0" applyNumberFormat="1" applyAlignment="1">
      <alignment horizontal="center"/>
    </xf>
    <xf numFmtId="38" fontId="2" fillId="0" borderId="0" xfId="0" applyNumberFormat="1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6" borderId="8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0" fontId="0" fillId="0" borderId="0" xfId="0" applyNumberFormat="1" applyAlignment="1">
      <alignment horizontal="center"/>
    </xf>
    <xf numFmtId="40" fontId="0" fillId="5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CAPEX for Drilling Program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4"/>
          <c:w val="0.927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Control!$C$12</c:f>
              <c:strCache>
                <c:ptCount val="1"/>
                <c:pt idx="0">
                  <c:v>Capex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numRef>
              <c:f>Control!$D$4:$N$4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Control!$D$12:$N$12</c:f>
              <c:numCache>
                <c:ptCount val="11"/>
                <c:pt idx="0">
                  <c:v>765</c:v>
                </c:pt>
                <c:pt idx="1">
                  <c:v>660</c:v>
                </c:pt>
                <c:pt idx="2">
                  <c:v>825</c:v>
                </c:pt>
                <c:pt idx="3">
                  <c:v>720</c:v>
                </c:pt>
                <c:pt idx="4">
                  <c:v>735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Incremental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75"/>
          <c:w val="0.9015"/>
          <c:h val="0.839"/>
        </c:manualLayout>
      </c:layout>
      <c:areaChart>
        <c:grouping val="stacked"/>
        <c:varyColors val="0"/>
        <c:ser>
          <c:idx val="1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Charts!$F$4:$O$4</c:f>
              <c:numCache>
                <c:ptCount val="10"/>
                <c:pt idx="0">
                  <c:v>62</c:v>
                </c:pt>
                <c:pt idx="1">
                  <c:v>60</c:v>
                </c:pt>
                <c:pt idx="2">
                  <c:v>49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  <c:pt idx="6">
                  <c:v>22.5</c:v>
                </c:pt>
                <c:pt idx="7">
                  <c:v>16.875</c:v>
                </c:pt>
                <c:pt idx="8">
                  <c:v>12.65625</c:v>
                </c:pt>
                <c:pt idx="9">
                  <c:v>9.4921875</c:v>
                </c:pt>
              </c:numCache>
            </c:numRef>
          </c:val>
        </c:ser>
        <c:ser>
          <c:idx val="2"/>
          <c:order val="1"/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Charts!$F$5:$O$5</c:f>
              <c:numCache>
                <c:ptCount val="10"/>
                <c:pt idx="1">
                  <c:v>58</c:v>
                </c:pt>
                <c:pt idx="2">
                  <c:v>45</c:v>
                </c:pt>
                <c:pt idx="3">
                  <c:v>37</c:v>
                </c:pt>
                <c:pt idx="4">
                  <c:v>35</c:v>
                </c:pt>
                <c:pt idx="5">
                  <c:v>26.25</c:v>
                </c:pt>
                <c:pt idx="6">
                  <c:v>19.6875</c:v>
                </c:pt>
                <c:pt idx="7">
                  <c:v>14.765625</c:v>
                </c:pt>
                <c:pt idx="8">
                  <c:v>11.07421875</c:v>
                </c:pt>
                <c:pt idx="9">
                  <c:v>8.3056640625</c:v>
                </c:pt>
              </c:numCache>
            </c:numRef>
          </c:val>
        </c:ser>
        <c:ser>
          <c:idx val="3"/>
          <c:order val="2"/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Charts!$F$6:$O$6</c:f>
              <c:numCache>
                <c:ptCount val="10"/>
                <c:pt idx="2">
                  <c:v>55</c:v>
                </c:pt>
                <c:pt idx="3">
                  <c:v>35</c:v>
                </c:pt>
                <c:pt idx="4">
                  <c:v>45</c:v>
                </c:pt>
                <c:pt idx="5">
                  <c:v>33.75</c:v>
                </c:pt>
                <c:pt idx="6">
                  <c:v>25.3125</c:v>
                </c:pt>
                <c:pt idx="7">
                  <c:v>18.984375</c:v>
                </c:pt>
                <c:pt idx="8">
                  <c:v>14.23828125</c:v>
                </c:pt>
                <c:pt idx="9">
                  <c:v>10.6787109375</c:v>
                </c:pt>
              </c:numCache>
            </c:numRef>
          </c:val>
        </c:ser>
        <c:ser>
          <c:idx val="4"/>
          <c:order val="3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Charts!$F$7:$O$7</c:f>
              <c:numCache>
                <c:ptCount val="10"/>
                <c:pt idx="3">
                  <c:v>36</c:v>
                </c:pt>
                <c:pt idx="4">
                  <c:v>55</c:v>
                </c:pt>
                <c:pt idx="5">
                  <c:v>41.25</c:v>
                </c:pt>
                <c:pt idx="6">
                  <c:v>30.9375</c:v>
                </c:pt>
                <c:pt idx="7">
                  <c:v>23.203125</c:v>
                </c:pt>
                <c:pt idx="8">
                  <c:v>17.40234375</c:v>
                </c:pt>
                <c:pt idx="9">
                  <c:v>13.0517578125</c:v>
                </c:pt>
              </c:numCache>
            </c:numRef>
          </c:val>
        </c:ser>
        <c:ser>
          <c:idx val="5"/>
          <c:order val="4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Charts!$F$8:$O$8</c:f>
              <c:numCache>
                <c:ptCount val="10"/>
                <c:pt idx="4">
                  <c:v>50</c:v>
                </c:pt>
                <c:pt idx="5">
                  <c:v>37.5</c:v>
                </c:pt>
                <c:pt idx="6">
                  <c:v>28.125</c:v>
                </c:pt>
                <c:pt idx="7">
                  <c:v>21.09375</c:v>
                </c:pt>
                <c:pt idx="8">
                  <c:v>15.8203125</c:v>
                </c:pt>
                <c:pt idx="9">
                  <c:v>11.865234375</c:v>
                </c:pt>
              </c:numCache>
            </c:numRef>
          </c:val>
        </c:ser>
        <c:axId val="58311334"/>
        <c:axId val="55039959"/>
      </c:area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Thousands BBL/Day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Oil Company Net Present Value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6"/>
          <c:w val="0.93875"/>
          <c:h val="0.84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Charts!$E$13:$O$13</c:f>
              <c:numCache>
                <c:ptCount val="11"/>
                <c:pt idx="0">
                  <c:v>-420.75</c:v>
                </c:pt>
                <c:pt idx="1">
                  <c:v>-578.237623410326</c:v>
                </c:pt>
                <c:pt idx="2">
                  <c:v>-545.1883868602314</c:v>
                </c:pt>
                <c:pt idx="3">
                  <c:v>-165.12617444858503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197.85927449385008</c:v>
                </c:pt>
                <c:pt idx="5">
                  <c:v>1343.2211873471585</c:v>
                </c:pt>
                <c:pt idx="6">
                  <c:v>2086.9590072613487</c:v>
                </c:pt>
                <c:pt idx="7">
                  <c:v>2568.738272324883</c:v>
                </c:pt>
                <c:pt idx="8">
                  <c:v>2878.4496427742674</c:v>
                </c:pt>
                <c:pt idx="9">
                  <c:v>3077.130536862524</c:v>
                </c:pt>
                <c:pt idx="10">
                  <c:v>3202.2364183001064</c:v>
                </c:pt>
              </c:numCache>
            </c:numRef>
          </c:val>
        </c:ser>
        <c:overlap val="100"/>
        <c:gapWidth val="0"/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97584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Alaska Royalty And Taxes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6"/>
          <c:w val="0.937"/>
          <c:h val="0.840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Charts!$E$15:$O$15</c:f>
              <c:numCache>
                <c:ptCount val="11"/>
                <c:pt idx="0">
                  <c:v>-74.26419646500001</c:v>
                </c:pt>
                <c:pt idx="1">
                  <c:v>-31.11335173520314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Charts!$E$16:$O$16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282.97300964875933</c:v>
                </c:pt>
                <c:pt idx="3">
                  <c:v>1053.4090907027953</c:v>
                </c:pt>
                <c:pt idx="4">
                  <c:v>1875.8204138355607</c:v>
                </c:pt>
                <c:pt idx="5">
                  <c:v>4607.859236953204</c:v>
                </c:pt>
                <c:pt idx="6">
                  <c:v>6633.579139616353</c:v>
                </c:pt>
                <c:pt idx="7">
                  <c:v>8134.298544251587</c:v>
                </c:pt>
                <c:pt idx="8">
                  <c:v>9246.098942708037</c:v>
                </c:pt>
                <c:pt idx="9">
                  <c:v>10068.749698073287</c:v>
                </c:pt>
                <c:pt idx="10">
                  <c:v>10678.504475365633</c:v>
                </c:pt>
              </c:numCache>
            </c:numRef>
          </c:val>
        </c:ser>
        <c:overlap val="100"/>
        <c:gapWidth val="0"/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38394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Oil Company Net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5"/>
          <c:w val="0.93925"/>
          <c:h val="0.841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Charts!$E$11:$O$11</c:f>
              <c:numCache>
                <c:ptCount val="11"/>
                <c:pt idx="0">
                  <c:v>-420.75</c:v>
                </c:pt>
                <c:pt idx="1">
                  <c:v>-181.11076692187498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Charts!$E$12:$O$12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43.70761533750016</c:v>
                </c:pt>
                <c:pt idx="3">
                  <c:v>578.0271173015626</c:v>
                </c:pt>
                <c:pt idx="4">
                  <c:v>634.8638188593748</c:v>
                </c:pt>
                <c:pt idx="5">
                  <c:v>2303.7319157062498</c:v>
                </c:pt>
                <c:pt idx="6">
                  <c:v>1720.3107711549842</c:v>
                </c:pt>
                <c:pt idx="7">
                  <c:v>1281.542423066625</c:v>
                </c:pt>
                <c:pt idx="8">
                  <c:v>947.414162992971</c:v>
                </c:pt>
                <c:pt idx="9">
                  <c:v>698.9348069705306</c:v>
                </c:pt>
                <c:pt idx="10">
                  <c:v>506.1230664323681</c:v>
                </c:pt>
              </c:numCache>
            </c:numRef>
          </c:val>
        </c:ser>
        <c:overlap val="100"/>
        <c:gapWidth val="0"/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71716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Oil Company Net Present Value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5"/>
          <c:w val="0.939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Charts!$E$13:$O$13</c:f>
              <c:numCache>
                <c:ptCount val="11"/>
                <c:pt idx="0">
                  <c:v>-420.75</c:v>
                </c:pt>
                <c:pt idx="1">
                  <c:v>-578.237623410326</c:v>
                </c:pt>
                <c:pt idx="2">
                  <c:v>-545.1883868602314</c:v>
                </c:pt>
                <c:pt idx="3">
                  <c:v>-165.12617444858503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197.85927449385008</c:v>
                </c:pt>
                <c:pt idx="5">
                  <c:v>1343.2211873471585</c:v>
                </c:pt>
                <c:pt idx="6">
                  <c:v>2086.9590072613487</c:v>
                </c:pt>
                <c:pt idx="7">
                  <c:v>2568.738272324883</c:v>
                </c:pt>
                <c:pt idx="8">
                  <c:v>2878.4496427742674</c:v>
                </c:pt>
                <c:pt idx="9">
                  <c:v>3077.130536862524</c:v>
                </c:pt>
                <c:pt idx="10">
                  <c:v>3202.2364183001064</c:v>
                </c:pt>
              </c:numCache>
            </c:numRef>
          </c:val>
        </c:ser>
        <c:overlap val="100"/>
        <c:gapWidth val="0"/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92398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Alaska Royalty And Taxes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475"/>
          <c:w val="0.93975"/>
          <c:h val="0.842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Charts!$E$15:$O$15</c:f>
              <c:numCache>
                <c:ptCount val="11"/>
                <c:pt idx="0">
                  <c:v>-74.26419646500001</c:v>
                </c:pt>
                <c:pt idx="1">
                  <c:v>-31.11335173520314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Charts!$E$3:$O$3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Charts!$E$16:$O$16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282.97300964875933</c:v>
                </c:pt>
                <c:pt idx="3">
                  <c:v>1053.4090907027953</c:v>
                </c:pt>
                <c:pt idx="4">
                  <c:v>1875.8204138355607</c:v>
                </c:pt>
                <c:pt idx="5">
                  <c:v>4607.859236953204</c:v>
                </c:pt>
                <c:pt idx="6">
                  <c:v>6633.579139616353</c:v>
                </c:pt>
                <c:pt idx="7">
                  <c:v>8134.298544251587</c:v>
                </c:pt>
                <c:pt idx="8">
                  <c:v>9246.098942708037</c:v>
                </c:pt>
                <c:pt idx="9">
                  <c:v>10068.749698073287</c:v>
                </c:pt>
                <c:pt idx="10">
                  <c:v>10678.504475365633</c:v>
                </c:pt>
              </c:numCache>
            </c:numRef>
          </c:val>
        </c:ser>
        <c:overlap val="100"/>
        <c:gapWidth val="0"/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11960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Oil Company After Tax IRR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4575"/>
          <c:w val="0.887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Control!$C$31</c:f>
              <c:strCache>
                <c:ptCount val="1"/>
                <c:pt idx="0">
                  <c:v>IRR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Control!$D$4:$N$4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Control!$D$31:$N$31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0.012430776730519405</c:v>
                </c:pt>
                <c:pt idx="4">
                  <c:v>0.26275451959663004</c:v>
                </c:pt>
                <c:pt idx="5">
                  <c:v>0.5524366112919415</c:v>
                </c:pt>
                <c:pt idx="6">
                  <c:v>0.6299510558321314</c:v>
                </c:pt>
                <c:pt idx="7">
                  <c:v>0.6584589040089427</c:v>
                </c:pt>
                <c:pt idx="8">
                  <c:v>0.6699325316787086</c:v>
                </c:pt>
                <c:pt idx="9">
                  <c:v>0.6747519543293381</c:v>
                </c:pt>
                <c:pt idx="10">
                  <c:v>0.6767842451196084</c:v>
                </c:pt>
              </c:numCache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of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5.emf" /><Relationship Id="rId5" Type="http://schemas.openxmlformats.org/officeDocument/2006/relationships/image" Target="../media/image9.emf" /><Relationship Id="rId6" Type="http://schemas.openxmlformats.org/officeDocument/2006/relationships/chart" Target="/xl/charts/chart1.xml" /><Relationship Id="rId7" Type="http://schemas.openxmlformats.org/officeDocument/2006/relationships/image" Target="../media/image12.emf" /><Relationship Id="rId8" Type="http://schemas.openxmlformats.org/officeDocument/2006/relationships/image" Target="../media/image4.emf" /><Relationship Id="rId9" Type="http://schemas.openxmlformats.org/officeDocument/2006/relationships/image" Target="../media/image13.emf" /><Relationship Id="rId10" Type="http://schemas.openxmlformats.org/officeDocument/2006/relationships/image" Target="../media/image7.emf" /><Relationship Id="rId11" Type="http://schemas.openxmlformats.org/officeDocument/2006/relationships/image" Target="../media/image11.emf" /><Relationship Id="rId12" Type="http://schemas.openxmlformats.org/officeDocument/2006/relationships/image" Target="../media/image10.emf" /><Relationship Id="rId13" Type="http://schemas.openxmlformats.org/officeDocument/2006/relationships/image" Target="../media/image2.emf" /><Relationship Id="rId14" Type="http://schemas.openxmlformats.org/officeDocument/2006/relationships/image" Target="../media/image14.emf" /><Relationship Id="rId15" Type="http://schemas.openxmlformats.org/officeDocument/2006/relationships/chart" Target="/xl/charts/chart2.xml" /><Relationship Id="rId16" Type="http://schemas.openxmlformats.org/officeDocument/2006/relationships/image" Target="../media/image5.emf" /><Relationship Id="rId17" Type="http://schemas.openxmlformats.org/officeDocument/2006/relationships/chart" Target="/xl/charts/chart3.xml" /><Relationship Id="rId18" Type="http://schemas.openxmlformats.org/officeDocument/2006/relationships/chart" Target="/xl/charts/chart4.xml" /><Relationship Id="rId1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0.01475</cdr:y>
    </cdr:from>
    <cdr:to>
      <cdr:x>0.939</cdr:x>
      <cdr:y>0.11325</cdr:y>
    </cdr:to>
    <cdr:sp textlink="Control!$P$12">
      <cdr:nvSpPr>
        <cdr:cNvPr id="1" name="TextBox 1"/>
        <cdr:cNvSpPr txBox="1">
          <a:spLocks noChangeArrowheads="1"/>
        </cdr:cNvSpPr>
      </cdr:nvSpPr>
      <cdr:spPr>
        <a:xfrm>
          <a:off x="3343275" y="28575"/>
          <a:ext cx="628650" cy="22860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054f179-090c-4614-a7eb-1fb6a8844f25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3,705 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152400</xdr:rowOff>
    </xdr:from>
    <xdr:to>
      <xdr:col>9</xdr:col>
      <xdr:colOff>28575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38250" y="3095625"/>
        <a:ext cx="42767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18</xdr:row>
      <xdr:rowOff>152400</xdr:rowOff>
    </xdr:from>
    <xdr:to>
      <xdr:col>16</xdr:col>
      <xdr:colOff>57150</xdr:colOff>
      <xdr:row>34</xdr:row>
      <xdr:rowOff>47625</xdr:rowOff>
    </xdr:to>
    <xdr:graphicFrame>
      <xdr:nvGraphicFramePr>
        <xdr:cNvPr id="2" name="Chart 3"/>
        <xdr:cNvGraphicFramePr/>
      </xdr:nvGraphicFramePr>
      <xdr:xfrm>
        <a:off x="5524500" y="3095625"/>
        <a:ext cx="42862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34</xdr:row>
      <xdr:rowOff>47625</xdr:rowOff>
    </xdr:from>
    <xdr:to>
      <xdr:col>9</xdr:col>
      <xdr:colOff>47625</xdr:colOff>
      <xdr:row>49</xdr:row>
      <xdr:rowOff>114300</xdr:rowOff>
    </xdr:to>
    <xdr:graphicFrame>
      <xdr:nvGraphicFramePr>
        <xdr:cNvPr id="3" name="Chart 4"/>
        <xdr:cNvGraphicFramePr/>
      </xdr:nvGraphicFramePr>
      <xdr:xfrm>
        <a:off x="1238250" y="5581650"/>
        <a:ext cx="42957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34</xdr:row>
      <xdr:rowOff>133350</xdr:rowOff>
    </xdr:from>
    <xdr:to>
      <xdr:col>15</xdr:col>
      <xdr:colOff>552450</xdr:colOff>
      <xdr:row>50</xdr:row>
      <xdr:rowOff>95250</xdr:rowOff>
    </xdr:to>
    <xdr:graphicFrame>
      <xdr:nvGraphicFramePr>
        <xdr:cNvPr id="4" name="Chart 5"/>
        <xdr:cNvGraphicFramePr/>
      </xdr:nvGraphicFramePr>
      <xdr:xfrm>
        <a:off x="5648325" y="5667375"/>
        <a:ext cx="40481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</cdr:y>
    </cdr:from>
    <cdr:to>
      <cdr:x>0.903</cdr:x>
      <cdr:y>0.104</cdr:y>
    </cdr:to>
    <cdr:sp textlink="Control!$P$15">
      <cdr:nvSpPr>
        <cdr:cNvPr id="1" name="TextBox 1"/>
        <cdr:cNvSpPr txBox="1">
          <a:spLocks noChangeArrowheads="1"/>
        </cdr:cNvSpPr>
      </cdr:nvSpPr>
      <cdr:spPr>
        <a:xfrm>
          <a:off x="3390900" y="19050"/>
          <a:ext cx="314325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94623f0-5704-47b0-81f2-89cfef4b4bf2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440 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0.86075</cdr:x>
      <cdr:y>0.01175</cdr:y>
    </cdr:from>
    <cdr:to>
      <cdr:x>0.96875</cdr:x>
      <cdr:y>0.09275</cdr:y>
    </cdr:to>
    <cdr:sp textlink="Control!$P$30">
      <cdr:nvSpPr>
        <cdr:cNvPr id="1" name="TextBox 1"/>
        <cdr:cNvSpPr txBox="1">
          <a:spLocks noChangeArrowheads="1"/>
        </cdr:cNvSpPr>
      </cdr:nvSpPr>
      <cdr:spPr>
        <a:xfrm>
          <a:off x="3629025" y="28575"/>
          <a:ext cx="457200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2de94d2-0a99-4b1f-8517-a6964b53020e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3,202 </a:t>
          </a:fld>
        </a:p>
      </cdr:txBody>
    </cdr:sp>
  </cdr:relSizeAnchor>
  <cdr:relSizeAnchor xmlns:cdr="http://schemas.openxmlformats.org/drawingml/2006/chartDrawing">
    <cdr:from>
      <cdr:x>0.07875</cdr:x>
      <cdr:y>0.221</cdr:y>
    </cdr:from>
    <cdr:to>
      <cdr:x>0.2575</cdr:x>
      <cdr:y>0.305</cdr:y>
    </cdr:to>
    <cdr:sp textlink="Charts!$R$36">
      <cdr:nvSpPr>
        <cdr:cNvPr id="2" name="TextBox 2"/>
        <cdr:cNvSpPr txBox="1">
          <a:spLocks noChangeArrowheads="1"/>
        </cdr:cNvSpPr>
      </cdr:nvSpPr>
      <cdr:spPr>
        <a:xfrm>
          <a:off x="323850" y="552450"/>
          <a:ext cx="752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59553953-05d6-4dca-9965-7aa1aed755cb}" type="TxLink">
            <a:rPr lang="en-US" cap="none" sz="1000" b="1" i="0" u="none" baseline="0">
              <a:latin typeface="Arial"/>
              <a:ea typeface="Arial"/>
              <a:cs typeface="Arial"/>
            </a:rPr>
            <a:t>IRR = 68%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0.8575</cdr:x>
      <cdr:y>0.01175</cdr:y>
    </cdr:from>
    <cdr:to>
      <cdr:x>0.96775</cdr:x>
      <cdr:y>0.09325</cdr:y>
    </cdr:to>
    <cdr:sp textlink="Control!$P$36">
      <cdr:nvSpPr>
        <cdr:cNvPr id="1" name="TextBox 1"/>
        <cdr:cNvSpPr txBox="1">
          <a:spLocks noChangeArrowheads="1"/>
        </cdr:cNvSpPr>
      </cdr:nvSpPr>
      <cdr:spPr>
        <a:xfrm>
          <a:off x="3505200" y="28575"/>
          <a:ext cx="447675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94ab7ca-1fb8-40d4-81df-11b1474c8e57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10,679 </a:t>
          </a:fld>
        </a:p>
      </cdr:txBody>
    </cdr:sp>
  </cdr:relSizeAnchor>
  <cdr:relSizeAnchor xmlns:cdr="http://schemas.openxmlformats.org/drawingml/2006/chartDrawing">
    <cdr:from>
      <cdr:x>0.07075</cdr:x>
      <cdr:y>0.164</cdr:y>
    </cdr:from>
    <cdr:to>
      <cdr:x>0.2995</cdr:x>
      <cdr:y>0.24775</cdr:y>
    </cdr:to>
    <cdr:sp textlink="Charts!$B$36">
      <cdr:nvSpPr>
        <cdr:cNvPr id="2" name="TextBox 2"/>
        <cdr:cNvSpPr txBox="1">
          <a:spLocks noChangeArrowheads="1"/>
        </cdr:cNvSpPr>
      </cdr:nvSpPr>
      <cdr:spPr>
        <a:xfrm>
          <a:off x="285750" y="409575"/>
          <a:ext cx="933450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8afaff3-6839-48f3-ae3b-5faf7ef5d907}" type="TxLink">
            <a:rPr lang="en-US" cap="none" sz="1000" b="1" i="0" u="none" baseline="0">
              <a:latin typeface="Arial"/>
              <a:ea typeface="Arial"/>
              <a:cs typeface="Arial"/>
            </a:rPr>
            <a:t>NPV = $4025</a:t>
          </a:fld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</xdr:row>
      <xdr:rowOff>9525</xdr:rowOff>
    </xdr:from>
    <xdr:to>
      <xdr:col>2</xdr:col>
      <xdr:colOff>504825</xdr:colOff>
      <xdr:row>5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239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5</xdr:row>
      <xdr:rowOff>9525</xdr:rowOff>
    </xdr:from>
    <xdr:to>
      <xdr:col>2</xdr:col>
      <xdr:colOff>457200</xdr:colOff>
      <xdr:row>6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85825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6</xdr:row>
      <xdr:rowOff>0</xdr:rowOff>
    </xdr:from>
    <xdr:to>
      <xdr:col>2</xdr:col>
      <xdr:colOff>447675</xdr:colOff>
      <xdr:row>7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103822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7</xdr:row>
      <xdr:rowOff>0</xdr:rowOff>
    </xdr:from>
    <xdr:to>
      <xdr:col>2</xdr:col>
      <xdr:colOff>409575</xdr:colOff>
      <xdr:row>7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200150"/>
          <a:ext cx="400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7</xdr:row>
      <xdr:rowOff>152400</xdr:rowOff>
    </xdr:from>
    <xdr:to>
      <xdr:col>2</xdr:col>
      <xdr:colOff>428625</xdr:colOff>
      <xdr:row>8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1352550"/>
          <a:ext cx="409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66675</xdr:rowOff>
    </xdr:from>
    <xdr:to>
      <xdr:col>10</xdr:col>
      <xdr:colOff>409575</xdr:colOff>
      <xdr:row>16</xdr:row>
      <xdr:rowOff>114300</xdr:rowOff>
    </xdr:to>
    <xdr:graphicFrame>
      <xdr:nvGraphicFramePr>
        <xdr:cNvPr id="6" name="Chart 6"/>
        <xdr:cNvGraphicFramePr/>
      </xdr:nvGraphicFramePr>
      <xdr:xfrm>
        <a:off x="2428875" y="457200"/>
        <a:ext cx="4229100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3</xdr:col>
      <xdr:colOff>19050</xdr:colOff>
      <xdr:row>10</xdr:row>
      <xdr:rowOff>0</xdr:rowOff>
    </xdr:from>
    <xdr:to>
      <xdr:col>3</xdr:col>
      <xdr:colOff>457200</xdr:colOff>
      <xdr:row>11</xdr:row>
      <xdr:rowOff>57150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1685925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28575</xdr:colOff>
      <xdr:row>16</xdr:row>
      <xdr:rowOff>0</xdr:rowOff>
    </xdr:from>
    <xdr:to>
      <xdr:col>3</xdr:col>
      <xdr:colOff>466725</xdr:colOff>
      <xdr:row>17</xdr:row>
      <xdr:rowOff>66675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47850" y="262890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18</xdr:row>
      <xdr:rowOff>0</xdr:rowOff>
    </xdr:from>
    <xdr:to>
      <xdr:col>3</xdr:col>
      <xdr:colOff>466725</xdr:colOff>
      <xdr:row>19</xdr:row>
      <xdr:rowOff>38100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2952750"/>
          <a:ext cx="447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20</xdr:row>
      <xdr:rowOff>0</xdr:rowOff>
    </xdr:from>
    <xdr:to>
      <xdr:col>3</xdr:col>
      <xdr:colOff>457200</xdr:colOff>
      <xdr:row>21</xdr:row>
      <xdr:rowOff>57150</xdr:rowOff>
    </xdr:to>
    <xdr:pic>
      <xdr:nvPicPr>
        <xdr:cNvPr id="10" name="Spi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327660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14</xdr:row>
      <xdr:rowOff>9525</xdr:rowOff>
    </xdr:from>
    <xdr:to>
      <xdr:col>3</xdr:col>
      <xdr:colOff>476250</xdr:colOff>
      <xdr:row>15</xdr:row>
      <xdr:rowOff>28575</xdr:rowOff>
    </xdr:to>
    <xdr:pic>
      <xdr:nvPicPr>
        <xdr:cNvPr id="11" name="Spin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38325" y="23241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12</xdr:row>
      <xdr:rowOff>0</xdr:rowOff>
    </xdr:from>
    <xdr:to>
      <xdr:col>3</xdr:col>
      <xdr:colOff>476250</xdr:colOff>
      <xdr:row>13</xdr:row>
      <xdr:rowOff>57150</xdr:rowOff>
    </xdr:to>
    <xdr:pic>
      <xdr:nvPicPr>
        <xdr:cNvPr id="12" name="SpinButton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28800" y="20002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22</xdr:row>
      <xdr:rowOff>0</xdr:rowOff>
    </xdr:from>
    <xdr:to>
      <xdr:col>3</xdr:col>
      <xdr:colOff>447675</xdr:colOff>
      <xdr:row>23</xdr:row>
      <xdr:rowOff>57150</xdr:rowOff>
    </xdr:to>
    <xdr:pic>
      <xdr:nvPicPr>
        <xdr:cNvPr id="13" name="SpinButton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360045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25</xdr:row>
      <xdr:rowOff>152400</xdr:rowOff>
    </xdr:from>
    <xdr:to>
      <xdr:col>3</xdr:col>
      <xdr:colOff>457200</xdr:colOff>
      <xdr:row>27</xdr:row>
      <xdr:rowOff>47625</xdr:rowOff>
    </xdr:to>
    <xdr:pic>
      <xdr:nvPicPr>
        <xdr:cNvPr id="14" name="SpinButton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38325" y="4238625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2</xdr:row>
      <xdr:rowOff>57150</xdr:rowOff>
    </xdr:from>
    <xdr:to>
      <xdr:col>17</xdr:col>
      <xdr:colOff>228600</xdr:colOff>
      <xdr:row>16</xdr:row>
      <xdr:rowOff>95250</xdr:rowOff>
    </xdr:to>
    <xdr:graphicFrame>
      <xdr:nvGraphicFramePr>
        <xdr:cNvPr id="15" name="Chart 22"/>
        <xdr:cNvGraphicFramePr/>
      </xdr:nvGraphicFramePr>
      <xdr:xfrm>
        <a:off x="6638925" y="447675"/>
        <a:ext cx="4105275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3</xdr:col>
      <xdr:colOff>9525</xdr:colOff>
      <xdr:row>24</xdr:row>
      <xdr:rowOff>0</xdr:rowOff>
    </xdr:from>
    <xdr:to>
      <xdr:col>3</xdr:col>
      <xdr:colOff>447675</xdr:colOff>
      <xdr:row>25</xdr:row>
      <xdr:rowOff>57150</xdr:rowOff>
    </xdr:to>
    <xdr:pic>
      <xdr:nvPicPr>
        <xdr:cNvPr id="16" name="SpinButton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28800" y="392430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104775</xdr:rowOff>
    </xdr:from>
    <xdr:to>
      <xdr:col>10</xdr:col>
      <xdr:colOff>400050</xdr:colOff>
      <xdr:row>32</xdr:row>
      <xdr:rowOff>47625</xdr:rowOff>
    </xdr:to>
    <xdr:graphicFrame>
      <xdr:nvGraphicFramePr>
        <xdr:cNvPr id="17" name="Chart 25"/>
        <xdr:cNvGraphicFramePr/>
      </xdr:nvGraphicFramePr>
      <xdr:xfrm>
        <a:off x="2428875" y="2733675"/>
        <a:ext cx="4219575" cy="2533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400050</xdr:colOff>
      <xdr:row>16</xdr:row>
      <xdr:rowOff>85725</xdr:rowOff>
    </xdr:from>
    <xdr:to>
      <xdr:col>17</xdr:col>
      <xdr:colOff>228600</xdr:colOff>
      <xdr:row>32</xdr:row>
      <xdr:rowOff>28575</xdr:rowOff>
    </xdr:to>
    <xdr:graphicFrame>
      <xdr:nvGraphicFramePr>
        <xdr:cNvPr id="18" name="Chart 26"/>
        <xdr:cNvGraphicFramePr/>
      </xdr:nvGraphicFramePr>
      <xdr:xfrm>
        <a:off x="6648450" y="2714625"/>
        <a:ext cx="4095750" cy="2533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2</xdr:col>
      <xdr:colOff>9525</xdr:colOff>
      <xdr:row>35</xdr:row>
      <xdr:rowOff>9525</xdr:rowOff>
    </xdr:from>
    <xdr:to>
      <xdr:col>2</xdr:col>
      <xdr:colOff>485775</xdr:colOff>
      <xdr:row>36</xdr:row>
      <xdr:rowOff>9525</xdr:rowOff>
    </xdr:to>
    <xdr:pic>
      <xdr:nvPicPr>
        <xdr:cNvPr id="19" name="CheckBox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57150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32</xdr:row>
      <xdr:rowOff>0</xdr:rowOff>
    </xdr:from>
    <xdr:to>
      <xdr:col>2</xdr:col>
      <xdr:colOff>495300</xdr:colOff>
      <xdr:row>33</xdr:row>
      <xdr:rowOff>0</xdr:rowOff>
    </xdr:to>
    <xdr:pic>
      <xdr:nvPicPr>
        <xdr:cNvPr id="20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5219700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</cdr:x>
      <cdr:y>0.012</cdr:y>
    </cdr:from>
    <cdr:to>
      <cdr:x>0.966</cdr:x>
      <cdr:y>0.09575</cdr:y>
    </cdr:to>
    <cdr:sp textlink="Control!$P$29">
      <cdr:nvSpPr>
        <cdr:cNvPr id="1" name="TextBox 1"/>
        <cdr:cNvSpPr txBox="1">
          <a:spLocks noChangeArrowheads="1"/>
        </cdr:cNvSpPr>
      </cdr:nvSpPr>
      <cdr:spPr>
        <a:xfrm>
          <a:off x="3629025" y="28575"/>
          <a:ext cx="495300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22feb2e-a5a3-4960-9f29-be6520bf3f7f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8,113 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0.8505</cdr:x>
      <cdr:y>0.012</cdr:y>
    </cdr:from>
    <cdr:to>
      <cdr:x>0.96625</cdr:x>
      <cdr:y>0.0955</cdr:y>
    </cdr:to>
    <cdr:sp textlink="Control!$P$30">
      <cdr:nvSpPr>
        <cdr:cNvPr id="1" name="TextBox 1"/>
        <cdr:cNvSpPr txBox="1">
          <a:spLocks noChangeArrowheads="1"/>
        </cdr:cNvSpPr>
      </cdr:nvSpPr>
      <cdr:spPr>
        <a:xfrm>
          <a:off x="3638550" y="28575"/>
          <a:ext cx="495300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1024e0f3-164b-43f5-8e5d-fe8025366ca8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3,202 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0.012</cdr:y>
    </cdr:from>
    <cdr:to>
      <cdr:x>0.965</cdr:x>
      <cdr:y>0.09525</cdr:y>
    </cdr:to>
    <cdr:sp textlink="Control!$P$36">
      <cdr:nvSpPr>
        <cdr:cNvPr id="1" name="TextBox 1"/>
        <cdr:cNvSpPr txBox="1">
          <a:spLocks noChangeArrowheads="1"/>
        </cdr:cNvSpPr>
      </cdr:nvSpPr>
      <cdr:spPr>
        <a:xfrm>
          <a:off x="3629025" y="28575"/>
          <a:ext cx="514350" cy="209550"/>
        </a:xfrm>
        <a:prstGeom prst="rect">
          <a:avLst/>
        </a:prstGeom>
        <a:noFill/>
        <a:ln w="1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8efcd5c-a1c3-4f41-ad1d-fb6c925cd262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10,679 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0.04075</cdr:y>
    </cdr:from>
    <cdr:to>
      <cdr:x>0.951</cdr:x>
      <cdr:y>0.1265</cdr:y>
    </cdr:to>
    <cdr:sp textlink="Control!$N$31">
      <cdr:nvSpPr>
        <cdr:cNvPr id="1" name="TextBox 1"/>
        <cdr:cNvSpPr txBox="1">
          <a:spLocks noChangeArrowheads="1"/>
        </cdr:cNvSpPr>
      </cdr:nvSpPr>
      <cdr:spPr>
        <a:xfrm>
          <a:off x="3343275" y="952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066d89-46b4-4fc8-b2fb-01040e172e32}" type="TxLink"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68%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zoomScale="90" zoomScaleNormal="90" workbookViewId="0" topLeftCell="A1">
      <selection activeCell="G2" sqref="G2"/>
    </sheetView>
  </sheetViews>
  <sheetFormatPr defaultColWidth="9.140625" defaultRowHeight="12.75"/>
  <cols>
    <col min="1" max="1" width="11.8515625" style="0" customWidth="1"/>
    <col min="2" max="2" width="6.28125" style="0" customWidth="1"/>
    <col min="10" max="10" width="11.57421875" style="0" bestFit="1" customWidth="1"/>
  </cols>
  <sheetData>
    <row r="1" ht="18">
      <c r="G1" s="22" t="s">
        <v>55</v>
      </c>
    </row>
    <row r="4" ht="12.75">
      <c r="B4" t="s">
        <v>18</v>
      </c>
    </row>
    <row r="5" spans="2:3" ht="12.75">
      <c r="B5">
        <v>2002</v>
      </c>
      <c r="C5" s="19" t="b">
        <v>1</v>
      </c>
    </row>
    <row r="6" spans="2:3" ht="12.75">
      <c r="B6">
        <v>2003</v>
      </c>
      <c r="C6" s="19" t="b">
        <v>1</v>
      </c>
    </row>
    <row r="7" spans="2:3" ht="12.75">
      <c r="B7">
        <v>2004</v>
      </c>
      <c r="C7" s="19" t="b">
        <v>1</v>
      </c>
    </row>
    <row r="8" spans="2:3" ht="12.75">
      <c r="B8">
        <v>2005</v>
      </c>
      <c r="C8" s="19" t="b">
        <v>1</v>
      </c>
    </row>
    <row r="9" spans="2:3" ht="12.75">
      <c r="B9">
        <v>2006</v>
      </c>
      <c r="C9" s="19" t="b">
        <v>1</v>
      </c>
    </row>
    <row r="11" spans="2:4" ht="12.75">
      <c r="B11" s="33" t="s">
        <v>19</v>
      </c>
      <c r="C11" s="16">
        <f>D11/10</f>
        <v>3</v>
      </c>
      <c r="D11" s="19">
        <v>30</v>
      </c>
    </row>
    <row r="12" ht="12" customHeight="1">
      <c r="D12" s="19"/>
    </row>
    <row r="13" spans="2:4" ht="12.75">
      <c r="B13" s="33" t="s">
        <v>24</v>
      </c>
      <c r="C13" s="16">
        <f>D13/10</f>
        <v>1</v>
      </c>
      <c r="D13" s="19">
        <v>10</v>
      </c>
    </row>
    <row r="14" spans="2:4" ht="12" customHeight="1">
      <c r="B14" s="20"/>
      <c r="D14" s="19"/>
    </row>
    <row r="15" spans="2:4" ht="12.75">
      <c r="B15" s="33" t="s">
        <v>25</v>
      </c>
      <c r="C15" s="16">
        <f>D15/10</f>
        <v>1</v>
      </c>
      <c r="D15" s="19">
        <v>10</v>
      </c>
    </row>
    <row r="16" ht="12" customHeight="1">
      <c r="D16" s="19"/>
    </row>
    <row r="17" spans="2:4" ht="12.75">
      <c r="B17" s="33" t="s">
        <v>20</v>
      </c>
      <c r="C17" s="16">
        <f>D17/100</f>
        <v>0.15</v>
      </c>
      <c r="D17" s="19">
        <v>15</v>
      </c>
    </row>
    <row r="18" ht="12.75">
      <c r="D18" s="19"/>
    </row>
    <row r="19" spans="2:4" ht="12.75">
      <c r="B19" s="33" t="s">
        <v>21</v>
      </c>
      <c r="C19" s="21">
        <f>D19/1000</f>
        <v>0.125</v>
      </c>
      <c r="D19" s="19">
        <v>125</v>
      </c>
    </row>
    <row r="20" ht="12.75">
      <c r="D20" s="19"/>
    </row>
    <row r="21" spans="2:4" ht="12.75">
      <c r="B21" s="33" t="s">
        <v>22</v>
      </c>
      <c r="C21" s="21">
        <f>D21/1000</f>
        <v>0.25</v>
      </c>
      <c r="D21" s="19">
        <v>250</v>
      </c>
    </row>
    <row r="23" spans="2:4" ht="12.75">
      <c r="B23" s="33" t="s">
        <v>23</v>
      </c>
      <c r="C23" s="27">
        <f>D23/10000</f>
        <v>0.002</v>
      </c>
      <c r="D23" s="19">
        <v>20</v>
      </c>
    </row>
    <row r="25" spans="1:4" ht="12.75">
      <c r="A25" s="19"/>
      <c r="B25" s="33" t="s">
        <v>45</v>
      </c>
      <c r="C25">
        <f>D25</f>
        <v>40</v>
      </c>
      <c r="D25" s="19">
        <v>40</v>
      </c>
    </row>
    <row r="27" spans="2:4" ht="12.75">
      <c r="B27" s="31" t="s">
        <v>26</v>
      </c>
      <c r="C27">
        <f>D27</f>
        <v>80</v>
      </c>
      <c r="D27" s="19">
        <v>80</v>
      </c>
    </row>
    <row r="33" ht="12.75">
      <c r="C33" s="19" t="b">
        <v>1</v>
      </c>
    </row>
    <row r="34" ht="12.75">
      <c r="D34" s="53" t="str">
        <f>IF(C33,"Tax Credits from outset","No tax credits 2002-2005")</f>
        <v>Tax Credits from outset</v>
      </c>
    </row>
    <row r="36" spans="3:4" ht="12.75">
      <c r="C36" s="19" t="b">
        <v>0</v>
      </c>
      <c r="D36" s="53" t="str">
        <f>IF(C36,"Forecast Only Mode","Actual oil price (but based on PPT) thru 2006, then Fcst")</f>
        <v>Actual oil price (but based on PPT) thru 2006, then Fcst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Y69"/>
  <sheetViews>
    <sheetView workbookViewId="0" topLeftCell="A16">
      <selection activeCell="D26" sqref="D26:N26"/>
    </sheetView>
  </sheetViews>
  <sheetFormatPr defaultColWidth="9.140625" defaultRowHeight="12.75"/>
  <cols>
    <col min="3" max="3" width="11.8515625" style="0" customWidth="1"/>
    <col min="4" max="4" width="7.57421875" style="0" customWidth="1"/>
    <col min="5" max="5" width="9.421875" style="0" customWidth="1"/>
    <col min="6" max="6" width="7.28125" style="0" customWidth="1"/>
    <col min="7" max="7" width="7.421875" style="0" customWidth="1"/>
    <col min="8" max="8" width="7.7109375" style="0" customWidth="1"/>
    <col min="9" max="9" width="7.28125" style="0" customWidth="1"/>
    <col min="10" max="10" width="7.57421875" style="0" bestFit="1" customWidth="1"/>
    <col min="11" max="14" width="8.28125" style="0" bestFit="1" customWidth="1"/>
    <col min="15" max="17" width="8.28125" style="0" customWidth="1"/>
    <col min="20" max="20" width="8.28125" style="0" customWidth="1"/>
    <col min="21" max="21" width="7.8515625" style="0" customWidth="1"/>
    <col min="22" max="22" width="8.28125" style="0" customWidth="1"/>
    <col min="23" max="23" width="6.7109375" style="0" customWidth="1"/>
    <col min="24" max="24" width="6.00390625" style="0" customWidth="1"/>
    <col min="25" max="25" width="4.8515625" style="0" customWidth="1"/>
  </cols>
  <sheetData>
    <row r="2" spans="6:10" ht="12.75">
      <c r="F2" t="s">
        <v>16</v>
      </c>
      <c r="H2" t="s">
        <v>8</v>
      </c>
      <c r="J2" s="2">
        <v>0.25</v>
      </c>
    </row>
    <row r="3" ht="13.5" thickBot="1"/>
    <row r="4" spans="3:19" ht="13.5" thickBot="1">
      <c r="C4" s="4"/>
      <c r="D4" s="52">
        <f>IF(Show!C36,2008,2002)</f>
        <v>2002</v>
      </c>
      <c r="E4" s="40">
        <f>D4+1</f>
        <v>2003</v>
      </c>
      <c r="F4" s="40">
        <f aca="true" t="shared" si="0" ref="F4:N4">E4+1</f>
        <v>2004</v>
      </c>
      <c r="G4" s="40">
        <f t="shared" si="0"/>
        <v>2005</v>
      </c>
      <c r="H4" s="40">
        <f t="shared" si="0"/>
        <v>2006</v>
      </c>
      <c r="I4" s="40">
        <f t="shared" si="0"/>
        <v>2007</v>
      </c>
      <c r="J4" s="40">
        <f t="shared" si="0"/>
        <v>2008</v>
      </c>
      <c r="K4" s="40">
        <f t="shared" si="0"/>
        <v>2009</v>
      </c>
      <c r="L4" s="40">
        <f t="shared" si="0"/>
        <v>2010</v>
      </c>
      <c r="M4" s="40">
        <f t="shared" si="0"/>
        <v>2011</v>
      </c>
      <c r="N4" s="41">
        <f t="shared" si="0"/>
        <v>2012</v>
      </c>
      <c r="O4" s="51"/>
      <c r="P4" s="51"/>
      <c r="Q4" s="51"/>
      <c r="S4" s="1">
        <f>SUM(S5:S9)</f>
        <v>440.4890576171875</v>
      </c>
    </row>
    <row r="5" spans="2:19" ht="12.75">
      <c r="B5" s="23">
        <f>IF(Show!C5=TRUE,1,0)</f>
        <v>1</v>
      </c>
      <c r="C5" s="5">
        <f>D4</f>
        <v>2002</v>
      </c>
      <c r="D5" s="42"/>
      <c r="E5" s="43">
        <v>62</v>
      </c>
      <c r="F5" s="43">
        <v>60</v>
      </c>
      <c r="G5" s="43">
        <v>49</v>
      </c>
      <c r="H5" s="43">
        <v>30</v>
      </c>
      <c r="I5" s="43">
        <v>40</v>
      </c>
      <c r="J5" s="44">
        <f aca="true" t="shared" si="1" ref="J5:N9">I5*(1-$J$2)</f>
        <v>30</v>
      </c>
      <c r="K5" s="44">
        <f t="shared" si="1"/>
        <v>22.5</v>
      </c>
      <c r="L5" s="44">
        <f t="shared" si="1"/>
        <v>16.875</v>
      </c>
      <c r="M5" s="44">
        <f t="shared" si="1"/>
        <v>12.65625</v>
      </c>
      <c r="N5" s="45">
        <f t="shared" si="1"/>
        <v>9.4921875</v>
      </c>
      <c r="O5" s="44"/>
      <c r="P5" s="44"/>
      <c r="Q5" s="44"/>
      <c r="S5" s="25">
        <f>SUM(E5:N5)*0.365</f>
        <v>121.37105468749999</v>
      </c>
    </row>
    <row r="6" spans="2:19" ht="12.75">
      <c r="B6" s="23">
        <f>IF(Show!C6=TRUE,1,0)</f>
        <v>1</v>
      </c>
      <c r="C6" s="5">
        <f>E4</f>
        <v>2003</v>
      </c>
      <c r="D6" s="42"/>
      <c r="E6" s="42"/>
      <c r="F6" s="43">
        <v>58</v>
      </c>
      <c r="G6" s="43">
        <v>45</v>
      </c>
      <c r="H6" s="43">
        <v>37</v>
      </c>
      <c r="I6" s="43">
        <v>35</v>
      </c>
      <c r="J6" s="44">
        <f t="shared" si="1"/>
        <v>26.25</v>
      </c>
      <c r="K6" s="44">
        <f t="shared" si="1"/>
        <v>19.6875</v>
      </c>
      <c r="L6" s="44">
        <f t="shared" si="1"/>
        <v>14.765625</v>
      </c>
      <c r="M6" s="44">
        <f t="shared" si="1"/>
        <v>11.07421875</v>
      </c>
      <c r="N6" s="45">
        <f t="shared" si="1"/>
        <v>8.3056640625</v>
      </c>
      <c r="O6" s="44"/>
      <c r="P6" s="44"/>
      <c r="Q6" s="44"/>
      <c r="S6" s="25">
        <f>SUM(E6:N6)*0.365</f>
        <v>93.1052978515625</v>
      </c>
    </row>
    <row r="7" spans="2:19" ht="12.75">
      <c r="B7" s="23">
        <f>IF(Show!C7=TRUE,1,0)</f>
        <v>1</v>
      </c>
      <c r="C7" s="5">
        <f>F4</f>
        <v>2004</v>
      </c>
      <c r="D7" s="42"/>
      <c r="E7" s="42"/>
      <c r="F7" s="42"/>
      <c r="G7" s="43">
        <v>55</v>
      </c>
      <c r="H7" s="43">
        <v>35</v>
      </c>
      <c r="I7" s="43">
        <v>45</v>
      </c>
      <c r="J7" s="44">
        <f t="shared" si="1"/>
        <v>33.75</v>
      </c>
      <c r="K7" s="44">
        <f t="shared" si="1"/>
        <v>25.3125</v>
      </c>
      <c r="L7" s="44">
        <f t="shared" si="1"/>
        <v>18.984375</v>
      </c>
      <c r="M7" s="44">
        <f t="shared" si="1"/>
        <v>14.23828125</v>
      </c>
      <c r="N7" s="45">
        <f t="shared" si="1"/>
        <v>10.6787109375</v>
      </c>
      <c r="O7" s="44"/>
      <c r="P7" s="44"/>
      <c r="Q7" s="44"/>
      <c r="S7" s="25">
        <f>SUM(E7:N7)*0.365</f>
        <v>86.8568115234375</v>
      </c>
    </row>
    <row r="8" spans="2:19" ht="12.75">
      <c r="B8" s="23">
        <f>IF(Show!C8=TRUE,1,0)</f>
        <v>1</v>
      </c>
      <c r="C8" s="5">
        <f>F4</f>
        <v>2004</v>
      </c>
      <c r="D8" s="42"/>
      <c r="E8" s="42"/>
      <c r="F8" s="42"/>
      <c r="G8" s="42"/>
      <c r="H8" s="43">
        <v>36</v>
      </c>
      <c r="I8" s="43">
        <v>55</v>
      </c>
      <c r="J8" s="44">
        <f t="shared" si="1"/>
        <v>41.25</v>
      </c>
      <c r="K8" s="44">
        <f t="shared" si="1"/>
        <v>30.9375</v>
      </c>
      <c r="L8" s="44">
        <f t="shared" si="1"/>
        <v>23.203125</v>
      </c>
      <c r="M8" s="44">
        <f t="shared" si="1"/>
        <v>17.40234375</v>
      </c>
      <c r="N8" s="45">
        <f t="shared" si="1"/>
        <v>13.0517578125</v>
      </c>
      <c r="O8" s="44"/>
      <c r="P8" s="44"/>
      <c r="Q8" s="44"/>
      <c r="S8" s="25">
        <f>SUM(E8:N8)*0.365</f>
        <v>79.1483251953125</v>
      </c>
    </row>
    <row r="9" spans="2:19" ht="13.5" thickBot="1">
      <c r="B9" s="23">
        <f>IF(Show!C9=TRUE,1,0)</f>
        <v>1</v>
      </c>
      <c r="C9" s="6">
        <f>H4</f>
        <v>2006</v>
      </c>
      <c r="D9" s="46"/>
      <c r="E9" s="46"/>
      <c r="F9" s="46"/>
      <c r="G9" s="46"/>
      <c r="H9" s="46"/>
      <c r="I9" s="47">
        <v>50</v>
      </c>
      <c r="J9" s="47">
        <f t="shared" si="1"/>
        <v>37.5</v>
      </c>
      <c r="K9" s="47">
        <f t="shared" si="1"/>
        <v>28.125</v>
      </c>
      <c r="L9" s="47">
        <f t="shared" si="1"/>
        <v>21.09375</v>
      </c>
      <c r="M9" s="47">
        <f t="shared" si="1"/>
        <v>15.8203125</v>
      </c>
      <c r="N9" s="48">
        <f t="shared" si="1"/>
        <v>11.865234375</v>
      </c>
      <c r="O9" s="44"/>
      <c r="P9" s="44"/>
      <c r="Q9" s="44"/>
      <c r="S9" s="25">
        <f>SUM(I9:R9)*0.365</f>
        <v>60.007568359375</v>
      </c>
    </row>
    <row r="10" spans="19:20" ht="13.5" thickBot="1">
      <c r="S10" s="25">
        <f>SUM(I10:R10)</f>
        <v>0</v>
      </c>
      <c r="T10" t="s">
        <v>17</v>
      </c>
    </row>
    <row r="11" spans="19:25" ht="12.75">
      <c r="S11" s="7"/>
      <c r="T11" s="8"/>
      <c r="U11" s="8"/>
      <c r="V11" s="8"/>
      <c r="W11" s="8"/>
      <c r="X11" s="8"/>
      <c r="Y11" s="9"/>
    </row>
    <row r="12" spans="2:25" ht="12.75">
      <c r="B12" s="2">
        <f>Show!C11</f>
        <v>3</v>
      </c>
      <c r="C12" t="s">
        <v>0</v>
      </c>
      <c r="D12" s="37">
        <f>255*B5*B12</f>
        <v>765</v>
      </c>
      <c r="E12" s="37">
        <f>220*B6*B12</f>
        <v>660</v>
      </c>
      <c r="F12" s="37">
        <f>B7*B12*275</f>
        <v>825</v>
      </c>
      <c r="G12" s="37">
        <f>240*B12*B8</f>
        <v>720</v>
      </c>
      <c r="H12" s="37">
        <f>245*B12*B9</f>
        <v>735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/>
      <c r="P12" s="37">
        <f>SUM(D12:N12)</f>
        <v>3705</v>
      </c>
      <c r="Q12" s="37"/>
      <c r="S12" s="10" t="s">
        <v>9</v>
      </c>
      <c r="T12" s="11">
        <v>2003</v>
      </c>
      <c r="U12" s="11">
        <v>2004</v>
      </c>
      <c r="V12" s="11">
        <v>2005</v>
      </c>
      <c r="W12" s="11">
        <v>2006</v>
      </c>
      <c r="X12" s="11">
        <v>2007</v>
      </c>
      <c r="Y12" s="12">
        <v>2008</v>
      </c>
    </row>
    <row r="13" spans="2:25" ht="12.75">
      <c r="B13" s="2">
        <v>1</v>
      </c>
      <c r="C13" t="s">
        <v>37</v>
      </c>
      <c r="D13" s="37"/>
      <c r="E13" s="50">
        <f>IF(Show!$C$36,E69,E68)</f>
        <v>24.905</v>
      </c>
      <c r="F13" s="50">
        <f>IF(Show!$C$36,F69,F68)</f>
        <v>32.796</v>
      </c>
      <c r="G13" s="50">
        <f>IF(Show!$C$36,G69,G68)</f>
        <v>47.090999999999994</v>
      </c>
      <c r="H13" s="50">
        <f>IF(Show!$C$36,H69,H68)</f>
        <v>55.545</v>
      </c>
      <c r="I13" s="49">
        <f>IF(Show!$C$36,I69,I68)</f>
        <v>80</v>
      </c>
      <c r="J13" s="49">
        <f>IF(Show!$C$36,J69,J68)</f>
        <v>80</v>
      </c>
      <c r="K13" s="49">
        <f>IF(Show!$C$36,K69,K68)</f>
        <v>80</v>
      </c>
      <c r="L13" s="49">
        <f>IF(Show!$C$36,L69,L68)</f>
        <v>80</v>
      </c>
      <c r="M13" s="49">
        <f>IF(Show!$C$36,M69,M68)</f>
        <v>80</v>
      </c>
      <c r="N13" s="49">
        <f>IF(Show!$C$36,N69,N68)</f>
        <v>80</v>
      </c>
      <c r="O13" s="49"/>
      <c r="P13" s="49"/>
      <c r="Q13" s="49"/>
      <c r="S13" s="10" t="s">
        <v>10</v>
      </c>
      <c r="T13" s="17">
        <v>23.1</v>
      </c>
      <c r="U13" s="17">
        <v>26.71</v>
      </c>
      <c r="V13" s="17">
        <v>38.882</v>
      </c>
      <c r="W13" s="17">
        <v>55.3</v>
      </c>
      <c r="X13" s="17">
        <v>55.79</v>
      </c>
      <c r="Y13" s="18"/>
    </row>
    <row r="14" spans="1:25" ht="12.75">
      <c r="A14" t="s">
        <v>13</v>
      </c>
      <c r="B14" s="2">
        <f>Show!C13</f>
        <v>1</v>
      </c>
      <c r="C14" t="s">
        <v>38</v>
      </c>
      <c r="D14" s="37"/>
      <c r="E14" s="50">
        <f>IF(Show!$C$36,E66,E65)</f>
        <v>3</v>
      </c>
      <c r="F14" s="50">
        <f>IF(Show!$C$36,F66,F65)</f>
        <v>3.5</v>
      </c>
      <c r="G14" s="50">
        <f>IF(Show!$C$36,G66,G65)</f>
        <v>4</v>
      </c>
      <c r="H14" s="50">
        <f>IF(Show!$C$36,H66,H65)</f>
        <v>6.5</v>
      </c>
      <c r="I14" s="49">
        <f>IF(Show!$C$36,I66,I65)</f>
        <v>7.15</v>
      </c>
      <c r="J14" s="49">
        <f>IF(Show!$C$36,J66,J65)</f>
        <v>7.865000000000001</v>
      </c>
      <c r="K14" s="49">
        <f>IF(Show!$C$36,K66,K65)</f>
        <v>8.651500000000002</v>
      </c>
      <c r="L14" s="49">
        <f>IF(Show!$C$36,L66,L65)</f>
        <v>9.516650000000004</v>
      </c>
      <c r="M14" s="49">
        <f>IF(Show!$C$36,M66,M65)</f>
        <v>10.468315000000006</v>
      </c>
      <c r="N14" s="49">
        <f>IF(Show!$C$36,N66,N65)</f>
        <v>11.515146500000007</v>
      </c>
      <c r="O14" s="49"/>
      <c r="P14" s="49"/>
      <c r="Q14" s="49"/>
      <c r="S14" s="10" t="s">
        <v>11</v>
      </c>
      <c r="T14" s="17">
        <f>(T13+U13)/2</f>
        <v>24.905</v>
      </c>
      <c r="U14" s="17">
        <f>(U13+V13)/2</f>
        <v>32.796</v>
      </c>
      <c r="V14" s="17">
        <f>(V13+W13)/2</f>
        <v>47.090999999999994</v>
      </c>
      <c r="W14" s="17">
        <f>(W13+X13)/2</f>
        <v>55.545</v>
      </c>
      <c r="X14" s="17"/>
      <c r="Y14" s="18"/>
    </row>
    <row r="15" spans="2:25" ht="13.5" thickBot="1">
      <c r="B15" s="2">
        <f>Show!C15</f>
        <v>1</v>
      </c>
      <c r="C15" t="s">
        <v>36</v>
      </c>
      <c r="D15" s="37"/>
      <c r="E15" s="37">
        <f>(E5*$B$5+E6*$B$6+E7*$B$7+E8*$B$8+E9*$B$9)</f>
        <v>62</v>
      </c>
      <c r="F15" s="37">
        <f>(F5*$B$5+F6*$B$6+F7*$B$7+F8*$B$8+F9*$B$9)</f>
        <v>118</v>
      </c>
      <c r="G15" s="37">
        <f>(G5*$B$5+G6*$B$6+G7*$B$7+G8*$B$8+G9*$B$9)</f>
        <v>149</v>
      </c>
      <c r="H15" s="37">
        <f>(H5*$B$5+H6*$B$6+H7*$B$7+H8*$B$8+H9*$B$9)</f>
        <v>138</v>
      </c>
      <c r="I15" s="37">
        <f>(I5*$B$5+I6*$B$6+I7*$B$7+I8*$B$8+I9*$B$9)*B15</f>
        <v>225</v>
      </c>
      <c r="J15" s="37">
        <f>(J5*$B$5+J6*$B$6+J7*$B$7+J8*$B$8+J9*$B$9)*B15</f>
        <v>168.75</v>
      </c>
      <c r="K15" s="37">
        <f>(K5*$B$5+K6*$B$6+K7*$B$7+K8*$B$8+K9*$B$9)*B15</f>
        <v>126.5625</v>
      </c>
      <c r="L15" s="37">
        <f>(L5*$B$5+L6*$B$6+L7*$B$7+L8*$B$8+L9*$B$9)*B15</f>
        <v>94.921875</v>
      </c>
      <c r="M15" s="37">
        <f>(M5*$B$5+M6*$B$6+M7*$B$7+M8*$B$8+M9*$B$9)*B15</f>
        <v>71.19140625</v>
      </c>
      <c r="N15" s="37">
        <f>(N5*$B$5+N6*$B$6+N7*$B$7+N8*$B$8+N9*$B$9)*B15</f>
        <v>53.3935546875</v>
      </c>
      <c r="O15" s="37"/>
      <c r="P15" s="37">
        <f>SUM(D15:N15)*0.365</f>
        <v>440.4890576171875</v>
      </c>
      <c r="Q15" s="37"/>
      <c r="S15" s="13" t="s">
        <v>12</v>
      </c>
      <c r="T15" s="14"/>
      <c r="U15" s="14"/>
      <c r="V15" s="14"/>
      <c r="W15" s="14"/>
      <c r="X15" s="14"/>
      <c r="Y15" s="15"/>
    </row>
    <row r="16" spans="3:17" ht="12.75">
      <c r="C16" t="s">
        <v>35</v>
      </c>
      <c r="D16" s="37"/>
      <c r="E16" s="37">
        <f aca="true" t="shared" si="2" ref="E16:N16">E15*E13*0.365</f>
        <v>563.60015</v>
      </c>
      <c r="F16" s="37">
        <f t="shared" si="2"/>
        <v>1412.52372</v>
      </c>
      <c r="G16" s="37">
        <f t="shared" si="2"/>
        <v>2561.044035</v>
      </c>
      <c r="H16" s="37">
        <f t="shared" si="2"/>
        <v>2797.80165</v>
      </c>
      <c r="I16" s="37">
        <f t="shared" si="2"/>
        <v>6570</v>
      </c>
      <c r="J16" s="37">
        <f t="shared" si="2"/>
        <v>4927.5</v>
      </c>
      <c r="K16" s="37">
        <f t="shared" si="2"/>
        <v>3695.625</v>
      </c>
      <c r="L16" s="37">
        <f t="shared" si="2"/>
        <v>2771.71875</v>
      </c>
      <c r="M16" s="37">
        <f t="shared" si="2"/>
        <v>2078.7890625</v>
      </c>
      <c r="N16" s="37">
        <f t="shared" si="2"/>
        <v>1559.091796875</v>
      </c>
      <c r="O16" s="37"/>
      <c r="P16" s="37">
        <f>SUM(D16:N16)</f>
        <v>28937.694164375</v>
      </c>
      <c r="Q16" s="37"/>
    </row>
    <row r="17" spans="2:17" ht="12.75">
      <c r="B17" s="3">
        <f>Show!$C$19</f>
        <v>0.125</v>
      </c>
      <c r="C17" t="s">
        <v>21</v>
      </c>
      <c r="D17" s="37"/>
      <c r="E17" s="38">
        <f aca="true" t="shared" si="3" ref="E17:N17">E16*$B$17</f>
        <v>70.45001875</v>
      </c>
      <c r="F17" s="38">
        <f t="shared" si="3"/>
        <v>176.565465</v>
      </c>
      <c r="G17" s="38">
        <f t="shared" si="3"/>
        <v>320.130504375</v>
      </c>
      <c r="H17" s="38">
        <f t="shared" si="3"/>
        <v>349.72520625</v>
      </c>
      <c r="I17" s="38">
        <f t="shared" si="3"/>
        <v>821.25</v>
      </c>
      <c r="J17" s="38">
        <f t="shared" si="3"/>
        <v>615.9375</v>
      </c>
      <c r="K17" s="38">
        <f t="shared" si="3"/>
        <v>461.953125</v>
      </c>
      <c r="L17" s="38">
        <f t="shared" si="3"/>
        <v>346.46484375</v>
      </c>
      <c r="M17" s="38">
        <f t="shared" si="3"/>
        <v>259.8486328125</v>
      </c>
      <c r="N17" s="38">
        <f t="shared" si="3"/>
        <v>194.886474609375</v>
      </c>
      <c r="O17" s="38"/>
      <c r="P17" s="37">
        <f aca="true" t="shared" si="4" ref="P17:P23">SUM(D17:N17)</f>
        <v>3617.211770546875</v>
      </c>
      <c r="Q17" s="38"/>
    </row>
    <row r="18" spans="3:17" ht="12.75">
      <c r="C18" t="s">
        <v>34</v>
      </c>
      <c r="D18" s="37"/>
      <c r="E18" s="37">
        <f aca="true" t="shared" si="5" ref="E18:N18">E16-E17</f>
        <v>493.15013124999996</v>
      </c>
      <c r="F18" s="37">
        <f t="shared" si="5"/>
        <v>1235.958255</v>
      </c>
      <c r="G18" s="37">
        <f t="shared" si="5"/>
        <v>2240.913530625</v>
      </c>
      <c r="H18" s="37">
        <f t="shared" si="5"/>
        <v>2448.0764437499997</v>
      </c>
      <c r="I18" s="37">
        <f t="shared" si="5"/>
        <v>5748.75</v>
      </c>
      <c r="J18" s="37">
        <f t="shared" si="5"/>
        <v>4311.5625</v>
      </c>
      <c r="K18" s="37">
        <f t="shared" si="5"/>
        <v>3233.671875</v>
      </c>
      <c r="L18" s="37">
        <f t="shared" si="5"/>
        <v>2425.25390625</v>
      </c>
      <c r="M18" s="37">
        <f t="shared" si="5"/>
        <v>1818.9404296875</v>
      </c>
      <c r="N18" s="37">
        <f t="shared" si="5"/>
        <v>1364.205322265625</v>
      </c>
      <c r="O18" s="37"/>
      <c r="P18" s="37">
        <f t="shared" si="4"/>
        <v>25320.482393828126</v>
      </c>
      <c r="Q18" s="37"/>
    </row>
    <row r="19" spans="3:17" ht="12.75">
      <c r="C19" t="s">
        <v>39</v>
      </c>
      <c r="D19" s="37"/>
      <c r="E19" s="38">
        <f>E15*0.365*E14</f>
        <v>67.89</v>
      </c>
      <c r="F19" s="38">
        <f aca="true" t="shared" si="6" ref="F19:N19">F15*0.365*F14</f>
        <v>150.745</v>
      </c>
      <c r="G19" s="38">
        <f t="shared" si="6"/>
        <v>217.54</v>
      </c>
      <c r="H19" s="38">
        <f t="shared" si="6"/>
        <v>327.405</v>
      </c>
      <c r="I19" s="38">
        <f t="shared" si="6"/>
        <v>587.19375</v>
      </c>
      <c r="J19" s="38">
        <f t="shared" si="6"/>
        <v>484.4348437500001</v>
      </c>
      <c r="K19" s="38">
        <f t="shared" si="6"/>
        <v>399.6587460937501</v>
      </c>
      <c r="L19" s="38">
        <f t="shared" si="6"/>
        <v>329.7184655273439</v>
      </c>
      <c r="M19" s="38">
        <f t="shared" si="6"/>
        <v>272.01773406005873</v>
      </c>
      <c r="N19" s="38">
        <f t="shared" si="6"/>
        <v>224.41463059954847</v>
      </c>
      <c r="O19" s="38"/>
      <c r="P19" s="37">
        <f t="shared" si="4"/>
        <v>3061.0181700307016</v>
      </c>
      <c r="Q19" s="38"/>
    </row>
    <row r="20" spans="3:17" ht="12.75">
      <c r="C20" t="s">
        <v>40</v>
      </c>
      <c r="D20" s="37"/>
      <c r="E20" s="37">
        <f aca="true" t="shared" si="7" ref="E20:N20">E18-E19</f>
        <v>425.26013125</v>
      </c>
      <c r="F20" s="37">
        <f t="shared" si="7"/>
        <v>1085.2132550000001</v>
      </c>
      <c r="G20" s="37">
        <f t="shared" si="7"/>
        <v>2023.373530625</v>
      </c>
      <c r="H20" s="37">
        <f t="shared" si="7"/>
        <v>2120.6714437499995</v>
      </c>
      <c r="I20" s="37">
        <f t="shared" si="7"/>
        <v>5161.55625</v>
      </c>
      <c r="J20" s="37">
        <f t="shared" si="7"/>
        <v>3827.1276562499997</v>
      </c>
      <c r="K20" s="37">
        <f t="shared" si="7"/>
        <v>2834.01312890625</v>
      </c>
      <c r="L20" s="37">
        <f t="shared" si="7"/>
        <v>2095.535440722656</v>
      </c>
      <c r="M20" s="37">
        <f t="shared" si="7"/>
        <v>1546.9226956274413</v>
      </c>
      <c r="N20" s="37">
        <f t="shared" si="7"/>
        <v>1139.7906916660766</v>
      </c>
      <c r="O20" s="37"/>
      <c r="P20" s="37">
        <f t="shared" si="4"/>
        <v>22259.46422379742</v>
      </c>
      <c r="Q20" s="37"/>
    </row>
    <row r="21" spans="3:17" ht="12.75">
      <c r="C21" t="s">
        <v>0</v>
      </c>
      <c r="D21" s="37">
        <f>D12</f>
        <v>765</v>
      </c>
      <c r="E21" s="37">
        <f>E12</f>
        <v>660</v>
      </c>
      <c r="F21" s="37">
        <f>F12</f>
        <v>825</v>
      </c>
      <c r="G21" s="37">
        <f>G12</f>
        <v>720</v>
      </c>
      <c r="H21" s="37">
        <f>H12</f>
        <v>735</v>
      </c>
      <c r="I21" s="37">
        <f aca="true" t="shared" si="8" ref="I21:N21">I12</f>
        <v>0</v>
      </c>
      <c r="J21" s="37">
        <f t="shared" si="8"/>
        <v>0</v>
      </c>
      <c r="K21" s="37">
        <f t="shared" si="8"/>
        <v>0</v>
      </c>
      <c r="L21" s="37">
        <f t="shared" si="8"/>
        <v>0</v>
      </c>
      <c r="M21" s="37">
        <f t="shared" si="8"/>
        <v>0</v>
      </c>
      <c r="N21" s="37">
        <f t="shared" si="8"/>
        <v>0</v>
      </c>
      <c r="O21" s="37"/>
      <c r="P21" s="37">
        <f t="shared" si="4"/>
        <v>3705</v>
      </c>
      <c r="Q21" s="37"/>
    </row>
    <row r="22" spans="3:17" ht="12.75">
      <c r="C22" t="s">
        <v>41</v>
      </c>
      <c r="D22" s="37">
        <f>(D20-D21)</f>
        <v>-765</v>
      </c>
      <c r="E22" s="37">
        <f>(E20-E21)</f>
        <v>-234.73986875000003</v>
      </c>
      <c r="F22" s="37">
        <f aca="true" t="shared" si="9" ref="F22:N22">F20-F21</f>
        <v>260.2132550000001</v>
      </c>
      <c r="G22" s="37">
        <f t="shared" si="9"/>
        <v>1303.373530625</v>
      </c>
      <c r="H22" s="37">
        <f t="shared" si="9"/>
        <v>1385.6714437499995</v>
      </c>
      <c r="I22" s="37">
        <f t="shared" si="9"/>
        <v>5161.55625</v>
      </c>
      <c r="J22" s="37">
        <f t="shared" si="9"/>
        <v>3827.1276562499997</v>
      </c>
      <c r="K22" s="37">
        <f t="shared" si="9"/>
        <v>2834.01312890625</v>
      </c>
      <c r="L22" s="37">
        <f t="shared" si="9"/>
        <v>2095.535440722656</v>
      </c>
      <c r="M22" s="37">
        <f t="shared" si="9"/>
        <v>1546.9226956274413</v>
      </c>
      <c r="N22" s="37">
        <f t="shared" si="9"/>
        <v>1139.7906916660766</v>
      </c>
      <c r="O22" s="37"/>
      <c r="P22" s="37">
        <f t="shared" si="4"/>
        <v>18554.464223797422</v>
      </c>
      <c r="Q22" s="37"/>
    </row>
    <row r="23" spans="1:17" ht="12.75">
      <c r="A23" t="s">
        <v>7</v>
      </c>
      <c r="B23" s="34">
        <f>Show!$C$21</f>
        <v>0.25</v>
      </c>
      <c r="C23" t="s">
        <v>42</v>
      </c>
      <c r="D23" s="38">
        <f>D22*$B$23</f>
        <v>-191.25</v>
      </c>
      <c r="E23" s="38">
        <f>E22*$B$23</f>
        <v>-58.68496718750001</v>
      </c>
      <c r="F23" s="38">
        <f aca="true" t="shared" si="10" ref="F23:N23">F22*$B$23</f>
        <v>65.05331375000003</v>
      </c>
      <c r="G23" s="38">
        <f t="shared" si="10"/>
        <v>325.84338265625</v>
      </c>
      <c r="H23" s="38">
        <f t="shared" si="10"/>
        <v>346.4178609374999</v>
      </c>
      <c r="I23" s="38">
        <f t="shared" si="10"/>
        <v>1290.3890625</v>
      </c>
      <c r="J23" s="38">
        <f t="shared" si="10"/>
        <v>956.7819140624999</v>
      </c>
      <c r="K23" s="38">
        <f t="shared" si="10"/>
        <v>708.5032822265625</v>
      </c>
      <c r="L23" s="38">
        <f t="shared" si="10"/>
        <v>523.883860180664</v>
      </c>
      <c r="M23" s="38">
        <f t="shared" si="10"/>
        <v>386.7306739068603</v>
      </c>
      <c r="N23" s="38">
        <f t="shared" si="10"/>
        <v>284.94767291651914</v>
      </c>
      <c r="O23" s="38"/>
      <c r="P23" s="37">
        <f t="shared" si="4"/>
        <v>4638.6160559493555</v>
      </c>
      <c r="Q23" s="38"/>
    </row>
    <row r="24" spans="2:17" ht="12.75">
      <c r="B24" s="2"/>
      <c r="C24" t="s">
        <v>43</v>
      </c>
      <c r="D24" s="37"/>
      <c r="E24" s="39">
        <f>IF(E15&lt;1,0,E13-E14-(E21/(E15*(1-$B$17)*0.365)))</f>
        <v>-11.426229089072656</v>
      </c>
      <c r="F24" s="39">
        <f>IF(F15&lt;1,0,F13-F14-(F21/(F15*(1-$B$17)*0.365)))</f>
        <v>7.404726657600584</v>
      </c>
      <c r="G24" s="39">
        <f>IF(G15&lt;1,0,G13-G14-(G21/(G15*(1-$B$17)*0.365)))</f>
        <v>27.960777643520395</v>
      </c>
      <c r="H24" s="39">
        <f>IF(H15&lt;1,0,H13-H14-(H21/(H15*(1-$B$17)*0.365)))</f>
        <v>32.36840678975581</v>
      </c>
      <c r="I24" s="39">
        <f>IF(I15&lt;1,0,I13-I14-(I21/(I15*(1-$B$17)*0.365)))</f>
        <v>72.85</v>
      </c>
      <c r="J24" s="39">
        <f>IF(J15&lt;1,0,J13-J14-(J21/(J15*(1-$B$17)*0.365)))</f>
        <v>72.135</v>
      </c>
      <c r="K24" s="39">
        <f>IF(K15&lt;1,0,K13-K14-(K21/(K15*(1-$B$17)*0.365)))</f>
        <v>71.3485</v>
      </c>
      <c r="L24" s="39">
        <f>IF(L15&lt;1,0,L13-L14-(L21/(L15*(1-$B$17)*0.365)))</f>
        <v>70.48335</v>
      </c>
      <c r="M24" s="39">
        <f>IF(M15&lt;1,0,M13-M14-(M21/(M15*(1-$B$17)*0.365)))</f>
        <v>69.531685</v>
      </c>
      <c r="N24" s="39">
        <f>IF(N15&lt;1,0,N13-N14-(N21/(N15*(1-$B$17)*0.365)))</f>
        <v>68.48485349999999</v>
      </c>
      <c r="O24" s="39"/>
      <c r="P24" s="37"/>
      <c r="Q24" s="39"/>
    </row>
    <row r="25" spans="1:17" ht="12.75">
      <c r="A25">
        <f>Show!C25</f>
        <v>40</v>
      </c>
      <c r="B25" s="3">
        <f>Show!C23</f>
        <v>0.002</v>
      </c>
      <c r="C25" t="s">
        <v>23</v>
      </c>
      <c r="D25" s="37"/>
      <c r="E25" s="38">
        <f>IF(E24&lt;$A$25,0,(E24-$A$25)*$B$25*E22)</f>
        <v>0</v>
      </c>
      <c r="F25" s="38">
        <f aca="true" t="shared" si="11" ref="F25:N25">IF(F24&lt;$A$25,0,(F24-$A$25)*$B$25*F22)</f>
        <v>0</v>
      </c>
      <c r="G25" s="38">
        <f t="shared" si="11"/>
        <v>0</v>
      </c>
      <c r="H25" s="38">
        <f t="shared" si="11"/>
        <v>0</v>
      </c>
      <c r="I25" s="38">
        <f t="shared" si="11"/>
        <v>339.11424562499997</v>
      </c>
      <c r="J25" s="38">
        <f t="shared" si="11"/>
        <v>245.9694944671875</v>
      </c>
      <c r="K25" s="38">
        <f t="shared" si="11"/>
        <v>177.68412114303518</v>
      </c>
      <c r="L25" s="38">
        <f t="shared" si="11"/>
        <v>127.75788055390596</v>
      </c>
      <c r="M25" s="38">
        <f t="shared" si="11"/>
        <v>91.36646753324094</v>
      </c>
      <c r="N25" s="38">
        <f t="shared" si="11"/>
        <v>64.93354174554369</v>
      </c>
      <c r="O25" s="38"/>
      <c r="P25" s="37">
        <f>SUM(D25:N25)</f>
        <v>1046.8257510679132</v>
      </c>
      <c r="Q25" s="38"/>
    </row>
    <row r="26" spans="2:17" ht="12.75">
      <c r="B26" s="2"/>
      <c r="C26" t="s">
        <v>15</v>
      </c>
      <c r="D26" s="39">
        <f>D22-D23-D25+D28+D21-D62</f>
        <v>234.93150000000003</v>
      </c>
      <c r="E26" s="39">
        <f aca="true" t="shared" si="12" ref="E26:N26">E22-E23-E25+E28+E21-E62</f>
        <v>334.2825984375</v>
      </c>
      <c r="F26" s="39">
        <f t="shared" si="12"/>
        <v>771.8349412499999</v>
      </c>
      <c r="G26" s="39">
        <f t="shared" si="12"/>
        <v>1325.61714796875</v>
      </c>
      <c r="H26" s="39">
        <f t="shared" si="12"/>
        <v>1344.8530828124997</v>
      </c>
      <c r="I26" s="39">
        <f t="shared" si="12"/>
        <v>2995.904941875</v>
      </c>
      <c r="J26" s="39">
        <f t="shared" si="12"/>
        <v>2205.037747720313</v>
      </c>
      <c r="K26" s="39">
        <f t="shared" si="12"/>
        <v>1625.0812255366525</v>
      </c>
      <c r="L26" s="39">
        <f t="shared" si="12"/>
        <v>1210.9256999880859</v>
      </c>
      <c r="M26" s="39">
        <f t="shared" si="12"/>
        <v>902.17255418734</v>
      </c>
      <c r="N26" s="39">
        <f t="shared" si="12"/>
        <v>692.1619770040136</v>
      </c>
      <c r="O26" s="39"/>
      <c r="P26" s="37">
        <f>SUM(D26:N26)</f>
        <v>13642.803416780154</v>
      </c>
      <c r="Q26" s="39"/>
    </row>
    <row r="27" spans="1:17" ht="12.75">
      <c r="A27" s="3">
        <v>0.229</v>
      </c>
      <c r="B27" s="2">
        <v>0.41</v>
      </c>
      <c r="C27" t="s">
        <v>3</v>
      </c>
      <c r="D27" s="38">
        <f>D26*$B$27</f>
        <v>96.321915</v>
      </c>
      <c r="E27" s="38">
        <f>E26*$B$27</f>
        <v>137.055865359375</v>
      </c>
      <c r="F27" s="38">
        <f>F26*$B$27</f>
        <v>316.45232591249993</v>
      </c>
      <c r="G27" s="38">
        <f>G26*$B$27</f>
        <v>543.5030306671874</v>
      </c>
      <c r="H27" s="38">
        <f>H26*$B$27</f>
        <v>551.3897639531249</v>
      </c>
      <c r="I27" s="38">
        <f aca="true" t="shared" si="13" ref="I27:N27">I26*$B$27</f>
        <v>1228.32102616875</v>
      </c>
      <c r="J27" s="38">
        <f t="shared" si="13"/>
        <v>904.0654765653283</v>
      </c>
      <c r="K27" s="38">
        <f t="shared" si="13"/>
        <v>666.2833024700275</v>
      </c>
      <c r="L27" s="38">
        <f t="shared" si="13"/>
        <v>496.47953699511515</v>
      </c>
      <c r="M27" s="38">
        <f t="shared" si="13"/>
        <v>369.89074721680936</v>
      </c>
      <c r="N27" s="38">
        <f t="shared" si="13"/>
        <v>283.78641057164555</v>
      </c>
      <c r="O27" s="38"/>
      <c r="P27" s="37">
        <f>SUM(D27:N27)</f>
        <v>5593.549400879863</v>
      </c>
      <c r="Q27" s="38"/>
    </row>
    <row r="28" spans="1:17" ht="12.75">
      <c r="A28">
        <f>IF(Show!C33,1,0)</f>
        <v>1</v>
      </c>
      <c r="B28" s="2">
        <v>0.2</v>
      </c>
      <c r="C28" t="s">
        <v>14</v>
      </c>
      <c r="D28" s="36">
        <f>D21*$B$28*$A$28</f>
        <v>153</v>
      </c>
      <c r="E28" s="36">
        <f>E21*$B$28*$A$28</f>
        <v>132</v>
      </c>
      <c r="F28" s="36">
        <f>F21*$B$28*$A$28</f>
        <v>165</v>
      </c>
      <c r="G28" s="36">
        <f>G21*$B$28*$A$28</f>
        <v>144</v>
      </c>
      <c r="H28" s="37">
        <f>H21*$B$28</f>
        <v>147</v>
      </c>
      <c r="I28" s="37">
        <f aca="true" t="shared" si="14" ref="I28:N28">I21*$B$28</f>
        <v>0</v>
      </c>
      <c r="J28" s="37">
        <f t="shared" si="14"/>
        <v>0</v>
      </c>
      <c r="K28" s="37">
        <f t="shared" si="14"/>
        <v>0</v>
      </c>
      <c r="L28" s="37">
        <f t="shared" si="14"/>
        <v>0</v>
      </c>
      <c r="M28" s="37">
        <f t="shared" si="14"/>
        <v>0</v>
      </c>
      <c r="N28" s="37">
        <f t="shared" si="14"/>
        <v>0</v>
      </c>
      <c r="O28" s="37"/>
      <c r="P28" s="37">
        <f>SUM(D28:N28)</f>
        <v>741</v>
      </c>
      <c r="Q28" s="37"/>
    </row>
    <row r="29" spans="3:17" ht="12.75">
      <c r="C29" t="s">
        <v>44</v>
      </c>
      <c r="D29" s="37">
        <f>D22-D23+D28</f>
        <v>-420.75</v>
      </c>
      <c r="E29" s="37">
        <f>E22-E23-E27-E25+E28</f>
        <v>-181.11076692187498</v>
      </c>
      <c r="F29" s="37">
        <f aca="true" t="shared" si="15" ref="F29:N29">F22-F23-F27-F25+F28</f>
        <v>43.70761533750016</v>
      </c>
      <c r="G29" s="37">
        <f t="shared" si="15"/>
        <v>578.0271173015626</v>
      </c>
      <c r="H29" s="37">
        <f t="shared" si="15"/>
        <v>634.8638188593748</v>
      </c>
      <c r="I29" s="37">
        <f t="shared" si="15"/>
        <v>2303.7319157062498</v>
      </c>
      <c r="J29" s="37">
        <f t="shared" si="15"/>
        <v>1720.3107711549842</v>
      </c>
      <c r="K29" s="37">
        <f t="shared" si="15"/>
        <v>1281.542423066625</v>
      </c>
      <c r="L29" s="37">
        <f t="shared" si="15"/>
        <v>947.414162992971</v>
      </c>
      <c r="M29" s="37">
        <f t="shared" si="15"/>
        <v>698.9348069705306</v>
      </c>
      <c r="N29" s="37">
        <f t="shared" si="15"/>
        <v>506.1230664323681</v>
      </c>
      <c r="O29" s="37"/>
      <c r="P29" s="37">
        <f>SUM(D29:N29)</f>
        <v>8112.794930900291</v>
      </c>
      <c r="Q29" s="37"/>
    </row>
    <row r="30" spans="2:17" ht="12.75">
      <c r="B30" s="2">
        <f>Show!$C$17</f>
        <v>0.15</v>
      </c>
      <c r="C30" t="s">
        <v>1</v>
      </c>
      <c r="D30" s="37">
        <f>D29</f>
        <v>-420.75</v>
      </c>
      <c r="E30" s="37">
        <f>NPV($B$30,E29)+$D$29</f>
        <v>-578.237623410326</v>
      </c>
      <c r="F30" s="37">
        <f>NPV($B$30,$E$29:F29)+$D$29</f>
        <v>-545.1883868602314</v>
      </c>
      <c r="G30" s="37">
        <f>NPV($B$30,$E$29:G29)+$D$29</f>
        <v>-165.12617444858503</v>
      </c>
      <c r="H30" s="37">
        <f>NPV($B$30,$E$29:H29)+$D$29</f>
        <v>197.85927449385008</v>
      </c>
      <c r="I30" s="37">
        <f>NPV($B$30,$E$29:I29)+$D$29</f>
        <v>1343.2211873471585</v>
      </c>
      <c r="J30" s="37">
        <f>NPV($B$30,$E$29:J29)+$D$29</f>
        <v>2086.9590072613487</v>
      </c>
      <c r="K30" s="37">
        <f>NPV($B$30,$E$29:K29)+$D$29</f>
        <v>2568.738272324883</v>
      </c>
      <c r="L30" s="37">
        <f>NPV($B$30,$E$29:L29)+$D$29</f>
        <v>2878.4496427742674</v>
      </c>
      <c r="M30" s="37">
        <f>NPV($B$30,$E$29:M29)+$D$29</f>
        <v>3077.130536862524</v>
      </c>
      <c r="N30" s="37">
        <f>NPV($B$30,$E$29:N29)+$D$29</f>
        <v>3202.2364183001064</v>
      </c>
      <c r="O30" s="37"/>
      <c r="P30" s="37">
        <f>N30</f>
        <v>3202.2364183001064</v>
      </c>
      <c r="Q30" s="37"/>
    </row>
    <row r="31" spans="3:17" ht="12.75">
      <c r="C31" t="s">
        <v>2</v>
      </c>
      <c r="D31" s="2">
        <f>IF(SUM($D$29:D29)&lt;1,0,IRR($D$29:D29))</f>
        <v>0</v>
      </c>
      <c r="E31" s="2">
        <f>IF(SUM($D$29:E29)&lt;1,0,IRR($D$29:E29))</f>
        <v>0</v>
      </c>
      <c r="F31" s="2">
        <f>IF(SUM($D$29:F29)&lt;1,0,IRR($D$29:F29))</f>
        <v>0</v>
      </c>
      <c r="G31" s="2">
        <f>IF(SUM($D$29:G29)&lt;1,0,IRR($D$29:G29))</f>
        <v>0.012430776730519405</v>
      </c>
      <c r="H31" s="2">
        <f>IF(SUM($D$29:H29)&lt;1,0,IRR($D$29:H29))</f>
        <v>0.26275451959663004</v>
      </c>
      <c r="I31" s="2">
        <f>IF(SUM($D$29:I29)&lt;1,0,IRR($D$29:I29))</f>
        <v>0.5524366112919415</v>
      </c>
      <c r="J31" s="2">
        <f>IF(SUM($D$29:J29)&lt;1,0,IRR($D$29:J29))</f>
        <v>0.6299510558321314</v>
      </c>
      <c r="K31" s="2">
        <f>IF(SUM($D$29:K29)&lt;1,0,IRR($D$29:K29))</f>
        <v>0.6584589040089427</v>
      </c>
      <c r="L31" s="2">
        <f>IF(SUM($D$29:L29)&lt;1,0,IRR($D$29:L29))</f>
        <v>0.6699325316787086</v>
      </c>
      <c r="M31" s="2">
        <f>IF(SUM($D$29:M29)&lt;1,0,IRR($D$29:M29))</f>
        <v>0.6747519543293381</v>
      </c>
      <c r="N31" s="2">
        <f>IF(SUM($D$29:N29)&lt;1,0,IRR($D$29:N29))</f>
        <v>0.6767842451196084</v>
      </c>
      <c r="O31" s="2"/>
      <c r="P31" s="2"/>
      <c r="Q31" s="2"/>
    </row>
    <row r="33" spans="2:17" ht="12.75">
      <c r="B33" t="s">
        <v>4</v>
      </c>
      <c r="C33" t="s">
        <v>0</v>
      </c>
      <c r="D33" s="30">
        <f>D12</f>
        <v>765</v>
      </c>
      <c r="E33" s="30">
        <f>D33+E12</f>
        <v>1425</v>
      </c>
      <c r="F33" s="30">
        <f>E33+F12</f>
        <v>2250</v>
      </c>
      <c r="G33" s="30">
        <f>F33+G12</f>
        <v>2970</v>
      </c>
      <c r="H33" s="30">
        <f>G33+H12</f>
        <v>3705</v>
      </c>
      <c r="I33" s="30">
        <f aca="true" t="shared" si="16" ref="I33:N33">H33+I12</f>
        <v>3705</v>
      </c>
      <c r="J33" s="30">
        <f t="shared" si="16"/>
        <v>3705</v>
      </c>
      <c r="K33" s="30">
        <f t="shared" si="16"/>
        <v>3705</v>
      </c>
      <c r="L33" s="30">
        <f t="shared" si="16"/>
        <v>3705</v>
      </c>
      <c r="M33" s="30">
        <f t="shared" si="16"/>
        <v>3705</v>
      </c>
      <c r="N33" s="30">
        <f t="shared" si="16"/>
        <v>3705</v>
      </c>
      <c r="O33" s="30"/>
      <c r="P33" s="37">
        <f>N33</f>
        <v>3705</v>
      </c>
      <c r="Q33" s="30"/>
    </row>
    <row r="34" spans="3:17" ht="12.75">
      <c r="C34" t="s">
        <v>5</v>
      </c>
      <c r="D34" s="30">
        <v>0</v>
      </c>
      <c r="E34" s="30">
        <f>D34+E29</f>
        <v>-181.11076692187498</v>
      </c>
      <c r="F34" s="30">
        <f>E34+F29</f>
        <v>-137.40315158437483</v>
      </c>
      <c r="G34" s="30">
        <f>F34+G29</f>
        <v>440.6239657171878</v>
      </c>
      <c r="H34" s="30">
        <f>G34+H29</f>
        <v>1075.4877845765625</v>
      </c>
      <c r="I34" s="30">
        <f aca="true" t="shared" si="17" ref="I34:N34">H34+I29</f>
        <v>3379.2197002828125</v>
      </c>
      <c r="J34" s="30">
        <f t="shared" si="17"/>
        <v>5099.530471437796</v>
      </c>
      <c r="K34" s="30">
        <f t="shared" si="17"/>
        <v>6381.072894504421</v>
      </c>
      <c r="L34" s="30">
        <f t="shared" si="17"/>
        <v>7328.487057497392</v>
      </c>
      <c r="M34" s="30">
        <f t="shared" si="17"/>
        <v>8027.421864467922</v>
      </c>
      <c r="N34" s="30">
        <f t="shared" si="17"/>
        <v>8533.54493090029</v>
      </c>
      <c r="O34" s="30"/>
      <c r="P34" s="37">
        <f>N34</f>
        <v>8533.54493090029</v>
      </c>
      <c r="Q34" s="30"/>
    </row>
    <row r="35" spans="3:17" ht="12.75">
      <c r="C35" t="s">
        <v>6</v>
      </c>
      <c r="D35" s="30">
        <v>0</v>
      </c>
      <c r="E35" s="30">
        <f>E17+E23+E27+E25</f>
        <v>148.82091692187498</v>
      </c>
      <c r="F35" s="30">
        <f>F17+F23+F27+E35+F25</f>
        <v>706.8920215843749</v>
      </c>
      <c r="G35" s="30">
        <f aca="true" t="shared" si="18" ref="G35:N35">G17+G23+G27+F35+G25</f>
        <v>1896.3689392828123</v>
      </c>
      <c r="H35" s="30">
        <f t="shared" si="18"/>
        <v>3143.901770423437</v>
      </c>
      <c r="I35" s="30">
        <f t="shared" si="18"/>
        <v>6822.976104717187</v>
      </c>
      <c r="J35" s="30">
        <f t="shared" si="18"/>
        <v>9545.730489812204</v>
      </c>
      <c r="K35" s="30">
        <f t="shared" si="18"/>
        <v>11560.154320651829</v>
      </c>
      <c r="L35" s="30">
        <f t="shared" si="18"/>
        <v>13054.740442131513</v>
      </c>
      <c r="M35" s="30">
        <f t="shared" si="18"/>
        <v>14162.576963600923</v>
      </c>
      <c r="N35" s="30">
        <f t="shared" si="18"/>
        <v>14991.131063444007</v>
      </c>
      <c r="O35" s="30"/>
      <c r="P35" s="37">
        <f>N35</f>
        <v>14991.131063444007</v>
      </c>
      <c r="Q35" s="30"/>
    </row>
    <row r="36" spans="3:17" ht="12.75">
      <c r="C36" s="28" t="s">
        <v>27</v>
      </c>
      <c r="D36" s="29">
        <f>D35-(1-$A$27)*SUM($D$27:D27)</f>
        <v>-74.26419646500001</v>
      </c>
      <c r="E36" s="29">
        <f>E35-(1-$A$27)*SUM($D$27:E27)</f>
        <v>-31.11335173520314</v>
      </c>
      <c r="F36" s="29">
        <f>F35-(1-$A$27)*SUM($D$27:F27)</f>
        <v>282.97300964875933</v>
      </c>
      <c r="G36" s="29">
        <f>G35-(1-$A$27)*SUM($D$27:G27)</f>
        <v>1053.4090907027953</v>
      </c>
      <c r="H36" s="29">
        <f>H35-(1-$A$27)*SUM($D$27:H27)</f>
        <v>1875.8204138355607</v>
      </c>
      <c r="I36" s="29">
        <f>I35-(1-$A$27)*SUM($D$27:I27)</f>
        <v>4607.859236953204</v>
      </c>
      <c r="J36" s="29">
        <f>J35-(1-$A$27)*SUM($D$27:J27)</f>
        <v>6633.579139616353</v>
      </c>
      <c r="K36" s="29">
        <f>K35-(1-$A$27)*SUM($D$27:K27)</f>
        <v>8134.298544251587</v>
      </c>
      <c r="L36" s="29">
        <f>L35-(1-$A$27)*SUM($D$27:L27)</f>
        <v>9246.098942708037</v>
      </c>
      <c r="M36" s="29">
        <f>M35-(1-$A$27)*SUM($D$27:M27)</f>
        <v>10068.749698073287</v>
      </c>
      <c r="N36" s="29">
        <f>N35-(1-$A$27)*SUM($D$27:N27)</f>
        <v>10678.504475365633</v>
      </c>
      <c r="O36" s="29"/>
      <c r="P36" s="37">
        <f>N36</f>
        <v>10678.504475365633</v>
      </c>
      <c r="Q36" s="29"/>
    </row>
    <row r="37" spans="5:17" ht="12.75">
      <c r="E37" s="16">
        <f>E35/(E34+E35)</f>
        <v>-4.608907038028203</v>
      </c>
      <c r="F37" s="16">
        <f>F35/(F34+F35)</f>
        <v>1.2412745161891834</v>
      </c>
      <c r="G37" s="16">
        <f>G35/(G34+G35)</f>
        <v>0.8114568663112018</v>
      </c>
      <c r="H37" s="16">
        <f>H35/(H34+H35)</f>
        <v>0.7451082033176805</v>
      </c>
      <c r="I37" s="16">
        <f aca="true" t="shared" si="19" ref="I37:N37">I35/(I34+I35)</f>
        <v>0.6687752553595679</v>
      </c>
      <c r="J37" s="16">
        <f t="shared" si="19"/>
        <v>0.6517965446344262</v>
      </c>
      <c r="K37" s="16">
        <f t="shared" si="19"/>
        <v>0.6443346479044718</v>
      </c>
      <c r="L37" s="16">
        <f t="shared" si="19"/>
        <v>0.6404648352361856</v>
      </c>
      <c r="M37" s="16">
        <f t="shared" si="19"/>
        <v>0.638241447119241</v>
      </c>
      <c r="N37" s="16">
        <f t="shared" si="19"/>
        <v>0.6372513299247187</v>
      </c>
      <c r="O37" s="16"/>
      <c r="P37" s="16"/>
      <c r="Q37" s="16"/>
    </row>
    <row r="39" spans="4:17" ht="12.75">
      <c r="D39" s="1">
        <f aca="true" t="shared" si="20" ref="D39:N39">D17+D23+D25+D27*$A$27</f>
        <v>-169.192281465</v>
      </c>
      <c r="E39" s="1">
        <f t="shared" si="20"/>
        <v>43.150844729796866</v>
      </c>
      <c r="F39" s="1">
        <f>F17+F23+F25+F27*$A$27</f>
        <v>314.0863613839625</v>
      </c>
      <c r="G39" s="1">
        <f t="shared" si="20"/>
        <v>770.4360810540359</v>
      </c>
      <c r="H39" s="1">
        <f t="shared" si="20"/>
        <v>822.4113231327655</v>
      </c>
      <c r="I39" s="1">
        <f t="shared" si="20"/>
        <v>2732.0388231176435</v>
      </c>
      <c r="J39" s="1">
        <f t="shared" si="20"/>
        <v>2025.7199026631476</v>
      </c>
      <c r="K39" s="1">
        <f t="shared" si="20"/>
        <v>1500.719404635234</v>
      </c>
      <c r="L39" s="1">
        <f t="shared" si="20"/>
        <v>1111.8003984564514</v>
      </c>
      <c r="M39" s="1">
        <f t="shared" si="20"/>
        <v>822.6507553652506</v>
      </c>
      <c r="N39" s="1">
        <f t="shared" si="20"/>
        <v>609.7547772923447</v>
      </c>
      <c r="O39" s="1"/>
      <c r="P39" s="1"/>
      <c r="Q39" s="1"/>
    </row>
    <row r="47" spans="4:14" ht="12.75">
      <c r="D47">
        <v>2002</v>
      </c>
      <c r="E47">
        <f>D47+1</f>
        <v>2003</v>
      </c>
      <c r="F47">
        <f aca="true" t="shared" si="21" ref="F47:N47">E47+1</f>
        <v>2004</v>
      </c>
      <c r="G47">
        <f t="shared" si="21"/>
        <v>2005</v>
      </c>
      <c r="H47">
        <f t="shared" si="21"/>
        <v>2006</v>
      </c>
      <c r="I47">
        <f t="shared" si="21"/>
        <v>2007</v>
      </c>
      <c r="J47">
        <f t="shared" si="21"/>
        <v>2008</v>
      </c>
      <c r="K47">
        <f t="shared" si="21"/>
        <v>2009</v>
      </c>
      <c r="L47">
        <f t="shared" si="21"/>
        <v>2010</v>
      </c>
      <c r="M47">
        <f t="shared" si="21"/>
        <v>2011</v>
      </c>
      <c r="N47">
        <f t="shared" si="21"/>
        <v>2012</v>
      </c>
    </row>
    <row r="48" spans="3:12" ht="12.75">
      <c r="C48" t="s">
        <v>0</v>
      </c>
      <c r="D48">
        <f>D12</f>
        <v>765</v>
      </c>
      <c r="E48">
        <f>E12</f>
        <v>660</v>
      </c>
      <c r="F48">
        <f>F12</f>
        <v>825</v>
      </c>
      <c r="G48">
        <f>G12</f>
        <v>720</v>
      </c>
      <c r="H48">
        <f>H12</f>
        <v>735</v>
      </c>
      <c r="I48" s="26">
        <v>250</v>
      </c>
      <c r="J48" s="26">
        <v>250</v>
      </c>
      <c r="K48" s="26">
        <v>250</v>
      </c>
      <c r="L48" s="26">
        <v>250</v>
      </c>
    </row>
    <row r="49" spans="3:12" ht="12.75">
      <c r="C49" t="s">
        <v>28</v>
      </c>
      <c r="D49">
        <v>120</v>
      </c>
      <c r="E49">
        <v>90</v>
      </c>
      <c r="F49">
        <v>80</v>
      </c>
      <c r="G49">
        <v>60</v>
      </c>
      <c r="H49">
        <v>50</v>
      </c>
      <c r="I49" s="1">
        <f>I48/I50</f>
        <v>45.45454545454545</v>
      </c>
      <c r="J49" s="1">
        <f>J48/J50</f>
        <v>41.666666666666664</v>
      </c>
      <c r="K49" s="1">
        <f>K48/K50</f>
        <v>35.714285714285715</v>
      </c>
      <c r="L49" s="1">
        <f>L48/L50</f>
        <v>31.25</v>
      </c>
    </row>
    <row r="50" spans="3:12" ht="12.75">
      <c r="C50" t="s">
        <v>29</v>
      </c>
      <c r="D50" s="24">
        <f>D48/D49</f>
        <v>6.375</v>
      </c>
      <c r="E50" s="24">
        <f>E48/E49</f>
        <v>7.333333333333333</v>
      </c>
      <c r="F50" s="24">
        <f>F48/F49</f>
        <v>10.3125</v>
      </c>
      <c r="G50" s="24">
        <f>G48/G49</f>
        <v>12</v>
      </c>
      <c r="H50" s="24">
        <f>H48/H49</f>
        <v>14.7</v>
      </c>
      <c r="I50" s="26">
        <v>5.5</v>
      </c>
      <c r="J50" s="26">
        <v>6</v>
      </c>
      <c r="K50" s="26">
        <v>7</v>
      </c>
      <c r="L50" s="26">
        <v>8</v>
      </c>
    </row>
    <row r="53" ht="12.75">
      <c r="C53" t="s">
        <v>32</v>
      </c>
    </row>
    <row r="55" spans="4:11" ht="12.75">
      <c r="D55">
        <v>14.29</v>
      </c>
      <c r="E55">
        <v>24.49</v>
      </c>
      <c r="F55">
        <v>17.49</v>
      </c>
      <c r="G55">
        <v>12.49</v>
      </c>
      <c r="H55">
        <v>8.93</v>
      </c>
      <c r="I55">
        <v>8.92</v>
      </c>
      <c r="J55">
        <v>8.93</v>
      </c>
      <c r="K55">
        <v>4.46</v>
      </c>
    </row>
    <row r="57" spans="3:11" ht="12.75">
      <c r="C57" s="5">
        <v>2002</v>
      </c>
      <c r="D57" s="1">
        <f>D$21*$D$55/100</f>
        <v>109.31849999999999</v>
      </c>
      <c r="E57" s="1">
        <f>D$21*$E$55/100</f>
        <v>187.34849999999997</v>
      </c>
      <c r="F57" s="1">
        <f>D$21*$F$55/100</f>
        <v>133.7985</v>
      </c>
      <c r="G57" s="1">
        <f>D$21*$G$55/100</f>
        <v>95.5485</v>
      </c>
      <c r="H57" s="1">
        <f>D$21*$H$55/100</f>
        <v>68.3145</v>
      </c>
      <c r="I57" s="1">
        <f>D$21*$I$55/100</f>
        <v>68.238</v>
      </c>
      <c r="J57" s="1">
        <f>D$21*$J$55/100</f>
        <v>68.3145</v>
      </c>
      <c r="K57" s="1">
        <f>D$21*$K$55/100</f>
        <v>34.119</v>
      </c>
    </row>
    <row r="58" spans="3:12" ht="12.75">
      <c r="C58" s="5">
        <v>2003</v>
      </c>
      <c r="E58" s="1">
        <f>E$21*$D$55/100</f>
        <v>94.314</v>
      </c>
      <c r="F58" s="1">
        <f>E$21*$E$55/100</f>
        <v>161.634</v>
      </c>
      <c r="G58" s="1">
        <f>E$21*$F$55/100</f>
        <v>115.434</v>
      </c>
      <c r="H58" s="1">
        <f>E$21*$G$55/100</f>
        <v>82.434</v>
      </c>
      <c r="I58" s="1">
        <f>E$21*$H$55/100</f>
        <v>58.938</v>
      </c>
      <c r="J58" s="1">
        <f>E$21*$I$55/100</f>
        <v>58.872</v>
      </c>
      <c r="K58" s="1">
        <f>E$21*$J$55/100</f>
        <v>58.938</v>
      </c>
      <c r="L58" s="1">
        <f>E$21*$K$55/100</f>
        <v>29.436</v>
      </c>
    </row>
    <row r="59" spans="3:13" ht="12.75">
      <c r="C59" s="5">
        <v>2004</v>
      </c>
      <c r="F59" s="1">
        <f>F$21*$D$55/100</f>
        <v>117.8925</v>
      </c>
      <c r="G59" s="1">
        <f>F$21*$E$55/100</f>
        <v>202.0425</v>
      </c>
      <c r="H59" s="1">
        <f>F$21*$F$55/100</f>
        <v>144.2925</v>
      </c>
      <c r="I59" s="1">
        <f>F$21*$G$55/100</f>
        <v>103.0425</v>
      </c>
      <c r="J59" s="1">
        <f>F$21*$H$55/100</f>
        <v>73.6725</v>
      </c>
      <c r="K59" s="1">
        <f>F$21*$I$55/100</f>
        <v>73.59</v>
      </c>
      <c r="L59" s="1">
        <f>F$21*$J$55/100</f>
        <v>73.6725</v>
      </c>
      <c r="M59" s="1">
        <f>F$21*$K$55/100</f>
        <v>36.795</v>
      </c>
    </row>
    <row r="60" spans="3:17" ht="12.75">
      <c r="C60" s="5">
        <v>2005</v>
      </c>
      <c r="G60" s="1">
        <f>G$21*$D$55/100</f>
        <v>102.88799999999999</v>
      </c>
      <c r="H60" s="1">
        <f>G$21*$E$55/100</f>
        <v>176.328</v>
      </c>
      <c r="I60" s="1">
        <f>G$21*$F$55/100</f>
        <v>125.928</v>
      </c>
      <c r="J60" s="1">
        <f>G$21*$G$55/100</f>
        <v>89.928</v>
      </c>
      <c r="K60" s="1">
        <f>G$21*$H$55/100</f>
        <v>64.29599999999999</v>
      </c>
      <c r="L60" s="1">
        <f>G$21*$I$55/100</f>
        <v>64.22399999999999</v>
      </c>
      <c r="M60" s="1">
        <f>G$21*$J$55/100</f>
        <v>64.29599999999999</v>
      </c>
      <c r="N60" s="1">
        <f>G$21*$K$55/100</f>
        <v>32.111999999999995</v>
      </c>
      <c r="O60" s="1"/>
      <c r="P60" s="1"/>
      <c r="Q60" s="1"/>
    </row>
    <row r="61" spans="3:18" ht="13.5" thickBot="1">
      <c r="C61" s="6">
        <v>2006</v>
      </c>
      <c r="H61" s="1">
        <f>H$21*$D$55/100</f>
        <v>105.0315</v>
      </c>
      <c r="I61" s="1">
        <f>H$21*$E$55/100</f>
        <v>180.00149999999996</v>
      </c>
      <c r="J61" s="1">
        <f>H$21*$F$55/100</f>
        <v>128.5515</v>
      </c>
      <c r="K61" s="1">
        <f>H$21*$G$55/100</f>
        <v>91.80149999999999</v>
      </c>
      <c r="L61" s="1">
        <f>H$21*$H$55/100</f>
        <v>65.63550000000001</v>
      </c>
      <c r="M61" s="1">
        <f>H$21*$I$55/100</f>
        <v>65.562</v>
      </c>
      <c r="N61" s="1">
        <f>H$21*$J$55/100</f>
        <v>65.63550000000001</v>
      </c>
      <c r="O61" s="1"/>
      <c r="P61" s="1"/>
      <c r="Q61" s="1"/>
      <c r="R61" s="1">
        <f>H$21*$K$55/100</f>
        <v>32.781</v>
      </c>
    </row>
    <row r="62" spans="3:20" ht="12.75">
      <c r="C62" t="s">
        <v>33</v>
      </c>
      <c r="D62" s="1">
        <f>SUM(D57:D61)</f>
        <v>109.31849999999999</v>
      </c>
      <c r="E62" s="1">
        <f aca="true" t="shared" si="22" ref="E62:R62">SUM(E57:E61)</f>
        <v>281.66249999999997</v>
      </c>
      <c r="F62" s="1">
        <f t="shared" si="22"/>
        <v>413.325</v>
      </c>
      <c r="G62" s="1">
        <f t="shared" si="22"/>
        <v>515.913</v>
      </c>
      <c r="H62" s="1">
        <f t="shared" si="22"/>
        <v>576.4005</v>
      </c>
      <c r="I62" s="1">
        <f t="shared" si="22"/>
        <v>536.1479999999999</v>
      </c>
      <c r="J62" s="1">
        <f t="shared" si="22"/>
        <v>419.33849999999995</v>
      </c>
      <c r="K62" s="1">
        <f t="shared" si="22"/>
        <v>322.74449999999996</v>
      </c>
      <c r="L62" s="1">
        <f t="shared" si="22"/>
        <v>232.968</v>
      </c>
      <c r="M62" s="1">
        <f t="shared" si="22"/>
        <v>166.653</v>
      </c>
      <c r="N62" s="1">
        <f t="shared" si="22"/>
        <v>97.7475</v>
      </c>
      <c r="O62" s="1"/>
      <c r="P62" s="1"/>
      <c r="Q62" s="1"/>
      <c r="R62" s="1">
        <f t="shared" si="22"/>
        <v>32.781</v>
      </c>
      <c r="T62" s="1">
        <f>SUM(D62:R62)</f>
        <v>3704.999999999999</v>
      </c>
    </row>
    <row r="63" spans="3:14" ht="12.75">
      <c r="C63" t="s">
        <v>54</v>
      </c>
      <c r="D63" s="35">
        <f>D21</f>
        <v>765</v>
      </c>
      <c r="E63" s="35">
        <f aca="true" t="shared" si="23" ref="E63:N63">E21</f>
        <v>660</v>
      </c>
      <c r="F63" s="35">
        <f t="shared" si="23"/>
        <v>825</v>
      </c>
      <c r="G63" s="35">
        <f t="shared" si="23"/>
        <v>720</v>
      </c>
      <c r="H63" s="35">
        <f t="shared" si="23"/>
        <v>735</v>
      </c>
      <c r="I63" s="35">
        <f t="shared" si="23"/>
        <v>0</v>
      </c>
      <c r="J63" s="35">
        <f t="shared" si="23"/>
        <v>0</v>
      </c>
      <c r="K63" s="35">
        <f t="shared" si="23"/>
        <v>0</v>
      </c>
      <c r="L63" s="35">
        <f t="shared" si="23"/>
        <v>0</v>
      </c>
      <c r="M63" s="35">
        <f t="shared" si="23"/>
        <v>0</v>
      </c>
      <c r="N63" s="35">
        <f t="shared" si="23"/>
        <v>0</v>
      </c>
    </row>
    <row r="65" spans="2:14" ht="12.75">
      <c r="B65" t="s">
        <v>52</v>
      </c>
      <c r="C65" t="s">
        <v>38</v>
      </c>
      <c r="D65" s="37"/>
      <c r="E65" s="50">
        <f>3</f>
        <v>3</v>
      </c>
      <c r="F65" s="50">
        <f>3.5</f>
        <v>3.5</v>
      </c>
      <c r="G65" s="50">
        <f>4</f>
        <v>4</v>
      </c>
      <c r="H65" s="50">
        <f>6.5</f>
        <v>6.5</v>
      </c>
      <c r="I65" s="49">
        <f>H65*1.1*$B$14</f>
        <v>7.15</v>
      </c>
      <c r="J65" s="49">
        <f>I65*1.1</f>
        <v>7.865000000000001</v>
      </c>
      <c r="K65" s="49">
        <f>J65*1.1</f>
        <v>8.651500000000002</v>
      </c>
      <c r="L65" s="49">
        <f>K65*1.1</f>
        <v>9.516650000000004</v>
      </c>
      <c r="M65" s="49">
        <f>L65*1.1</f>
        <v>10.468315000000006</v>
      </c>
      <c r="N65" s="49">
        <f>M65*1.1</f>
        <v>11.515146500000007</v>
      </c>
    </row>
    <row r="66" spans="2:14" ht="12.75">
      <c r="B66" t="s">
        <v>53</v>
      </c>
      <c r="E66" s="49">
        <f>I65</f>
        <v>7.15</v>
      </c>
      <c r="F66" s="49">
        <f aca="true" t="shared" si="24" ref="F66:N66">E66*1.1</f>
        <v>7.865000000000001</v>
      </c>
      <c r="G66" s="49">
        <f t="shared" si="24"/>
        <v>8.651500000000002</v>
      </c>
      <c r="H66" s="49">
        <f t="shared" si="24"/>
        <v>9.516650000000004</v>
      </c>
      <c r="I66" s="49">
        <f t="shared" si="24"/>
        <v>10.468315000000006</v>
      </c>
      <c r="J66" s="49">
        <f t="shared" si="24"/>
        <v>11.515146500000007</v>
      </c>
      <c r="K66" s="49">
        <f t="shared" si="24"/>
        <v>12.666661150000008</v>
      </c>
      <c r="L66" s="49">
        <f t="shared" si="24"/>
        <v>13.93332726500001</v>
      </c>
      <c r="M66" s="49">
        <f t="shared" si="24"/>
        <v>15.326659991500012</v>
      </c>
      <c r="N66" s="49">
        <f t="shared" si="24"/>
        <v>16.859325990650014</v>
      </c>
    </row>
    <row r="68" spans="2:14" ht="12.75">
      <c r="B68" t="s">
        <v>52</v>
      </c>
      <c r="C68" t="s">
        <v>37</v>
      </c>
      <c r="D68" s="37"/>
      <c r="E68" s="50">
        <f>T14</f>
        <v>24.905</v>
      </c>
      <c r="F68" s="50">
        <f>U14</f>
        <v>32.796</v>
      </c>
      <c r="G68" s="50">
        <f>V14</f>
        <v>47.090999999999994</v>
      </c>
      <c r="H68" s="50">
        <f>W14</f>
        <v>55.545</v>
      </c>
      <c r="I68" s="49">
        <f>Show!D27</f>
        <v>80</v>
      </c>
      <c r="J68" s="49">
        <f>I68</f>
        <v>80</v>
      </c>
      <c r="K68" s="49">
        <f>J68</f>
        <v>80</v>
      </c>
      <c r="L68" s="49">
        <f>K68</f>
        <v>80</v>
      </c>
      <c r="M68" s="49">
        <f>L68</f>
        <v>80</v>
      </c>
      <c r="N68" s="49">
        <f>M68</f>
        <v>80</v>
      </c>
    </row>
    <row r="69" spans="2:14" ht="12.75">
      <c r="B69" t="s">
        <v>53</v>
      </c>
      <c r="E69" s="49">
        <f>Show!D27</f>
        <v>80</v>
      </c>
      <c r="F69" s="49">
        <f aca="true" t="shared" si="25" ref="F69:N69">E69</f>
        <v>80</v>
      </c>
      <c r="G69" s="49">
        <f t="shared" si="25"/>
        <v>80</v>
      </c>
      <c r="H69" s="49">
        <f t="shared" si="25"/>
        <v>80</v>
      </c>
      <c r="I69" s="49">
        <f t="shared" si="25"/>
        <v>80</v>
      </c>
      <c r="J69" s="49">
        <f t="shared" si="25"/>
        <v>80</v>
      </c>
      <c r="K69" s="49">
        <f t="shared" si="25"/>
        <v>80</v>
      </c>
      <c r="L69" s="49">
        <f t="shared" si="25"/>
        <v>80</v>
      </c>
      <c r="M69" s="49">
        <f t="shared" si="25"/>
        <v>80</v>
      </c>
      <c r="N69" s="49">
        <f t="shared" si="25"/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R39"/>
  <sheetViews>
    <sheetView workbookViewId="0" topLeftCell="A5">
      <selection activeCell="A38" sqref="A38:C39"/>
    </sheetView>
  </sheetViews>
  <sheetFormatPr defaultColWidth="9.140625" defaultRowHeight="12.75"/>
  <sheetData>
    <row r="2" ht="13.5" thickBot="1"/>
    <row r="3" spans="4:15" ht="13.5" thickBot="1">
      <c r="D3" s="4"/>
      <c r="E3" s="40">
        <f>Control!D4</f>
        <v>2002</v>
      </c>
      <c r="F3" s="40">
        <f>Control!E4</f>
        <v>2003</v>
      </c>
      <c r="G3" s="40">
        <f>Control!F4</f>
        <v>2004</v>
      </c>
      <c r="H3" s="40">
        <f>Control!G4</f>
        <v>2005</v>
      </c>
      <c r="I3" s="40">
        <f>Control!H4</f>
        <v>2006</v>
      </c>
      <c r="J3" s="40">
        <f>Control!I4</f>
        <v>2007</v>
      </c>
      <c r="K3" s="40">
        <f>Control!J4</f>
        <v>2008</v>
      </c>
      <c r="L3" s="40">
        <f>Control!K4</f>
        <v>2009</v>
      </c>
      <c r="M3" s="40">
        <f>Control!L4</f>
        <v>2010</v>
      </c>
      <c r="N3" s="40">
        <f>Control!M4</f>
        <v>2011</v>
      </c>
      <c r="O3" s="41">
        <f>Control!N4</f>
        <v>2012</v>
      </c>
    </row>
    <row r="4" spans="3:15" ht="12.75">
      <c r="C4" s="23">
        <f>Control!B5</f>
        <v>1</v>
      </c>
      <c r="D4" s="5">
        <f>Control!C5</f>
        <v>2002</v>
      </c>
      <c r="E4" s="42"/>
      <c r="F4" s="43">
        <f>SUMPRODUCT($C4,Control!E5)</f>
        <v>62</v>
      </c>
      <c r="G4" s="43">
        <f>SUMPRODUCT($C4,Control!F5)</f>
        <v>60</v>
      </c>
      <c r="H4" s="43">
        <f>SUMPRODUCT($C4,Control!G5)</f>
        <v>49</v>
      </c>
      <c r="I4" s="43">
        <f>SUMPRODUCT($C4,Control!H5)</f>
        <v>30</v>
      </c>
      <c r="J4" s="43">
        <f>SUMPRODUCT($C4,Control!I5)</f>
        <v>40</v>
      </c>
      <c r="K4" s="44">
        <f>SUMPRODUCT($C4,Control!J5)</f>
        <v>30</v>
      </c>
      <c r="L4" s="44">
        <f>SUMPRODUCT($C4,Control!K5)</f>
        <v>22.5</v>
      </c>
      <c r="M4" s="44">
        <f>SUMPRODUCT($C4,Control!L5)</f>
        <v>16.875</v>
      </c>
      <c r="N4" s="44">
        <f>SUMPRODUCT($C4,Control!M5)</f>
        <v>12.65625</v>
      </c>
      <c r="O4" s="45">
        <f>SUMPRODUCT($C4,Control!N5)</f>
        <v>9.4921875</v>
      </c>
    </row>
    <row r="5" spans="3:15" ht="12.75">
      <c r="C5" s="23">
        <f>Control!B6</f>
        <v>1</v>
      </c>
      <c r="D5" s="5">
        <f>Control!C6</f>
        <v>2003</v>
      </c>
      <c r="E5" s="42"/>
      <c r="F5" s="42"/>
      <c r="G5" s="43">
        <f>SUMPRODUCT($C5,Control!F6)</f>
        <v>58</v>
      </c>
      <c r="H5" s="43">
        <f>SUMPRODUCT($C5,Control!G6)</f>
        <v>45</v>
      </c>
      <c r="I5" s="43">
        <f>SUMPRODUCT($C5,Control!H6)</f>
        <v>37</v>
      </c>
      <c r="J5" s="43">
        <f>SUMPRODUCT($C5,Control!I6)</f>
        <v>35</v>
      </c>
      <c r="K5" s="44">
        <f>SUMPRODUCT($C5,Control!J6)</f>
        <v>26.25</v>
      </c>
      <c r="L5" s="44">
        <f>SUMPRODUCT($C5,Control!K6)</f>
        <v>19.6875</v>
      </c>
      <c r="M5" s="44">
        <f>SUMPRODUCT($C5,Control!L6)</f>
        <v>14.765625</v>
      </c>
      <c r="N5" s="44">
        <f>SUMPRODUCT($C5,Control!M6)</f>
        <v>11.07421875</v>
      </c>
      <c r="O5" s="45">
        <f>SUMPRODUCT($C5,Control!N6)</f>
        <v>8.3056640625</v>
      </c>
    </row>
    <row r="6" spans="3:15" ht="12.75">
      <c r="C6" s="23">
        <f>Control!B7</f>
        <v>1</v>
      </c>
      <c r="D6" s="5">
        <f>Control!C7</f>
        <v>2004</v>
      </c>
      <c r="E6" s="42"/>
      <c r="F6" s="42"/>
      <c r="G6" s="42"/>
      <c r="H6" s="43">
        <f>SUMPRODUCT($C6,Control!G7)</f>
        <v>55</v>
      </c>
      <c r="I6" s="43">
        <f>SUMPRODUCT($C6,Control!H7)</f>
        <v>35</v>
      </c>
      <c r="J6" s="43">
        <f>SUMPRODUCT($C6,Control!I7)</f>
        <v>45</v>
      </c>
      <c r="K6" s="44">
        <f>SUMPRODUCT($C6,Control!J7)</f>
        <v>33.75</v>
      </c>
      <c r="L6" s="44">
        <f>SUMPRODUCT($C6,Control!K7)</f>
        <v>25.3125</v>
      </c>
      <c r="M6" s="44">
        <f>SUMPRODUCT($C6,Control!L7)</f>
        <v>18.984375</v>
      </c>
      <c r="N6" s="44">
        <f>SUMPRODUCT($C6,Control!M7)</f>
        <v>14.23828125</v>
      </c>
      <c r="O6" s="45">
        <f>SUMPRODUCT($C6,Control!N7)</f>
        <v>10.6787109375</v>
      </c>
    </row>
    <row r="7" spans="3:15" ht="12.75">
      <c r="C7" s="23">
        <f>Control!B8</f>
        <v>1</v>
      </c>
      <c r="D7" s="5">
        <f>Control!C8</f>
        <v>2004</v>
      </c>
      <c r="E7" s="42"/>
      <c r="F7" s="42"/>
      <c r="G7" s="42"/>
      <c r="H7" s="42"/>
      <c r="I7" s="43">
        <f>SUMPRODUCT($C7,Control!H8)</f>
        <v>36</v>
      </c>
      <c r="J7" s="43">
        <f>SUMPRODUCT($C7,Control!I8)</f>
        <v>55</v>
      </c>
      <c r="K7" s="44">
        <f>SUMPRODUCT($C7,Control!J8)</f>
        <v>41.25</v>
      </c>
      <c r="L7" s="44">
        <f>SUMPRODUCT($C7,Control!K8)</f>
        <v>30.9375</v>
      </c>
      <c r="M7" s="44">
        <f>SUMPRODUCT($C7,Control!L8)</f>
        <v>23.203125</v>
      </c>
      <c r="N7" s="44">
        <f>SUMPRODUCT($C7,Control!M8)</f>
        <v>17.40234375</v>
      </c>
      <c r="O7" s="45">
        <f>SUMPRODUCT($C7,Control!N8)</f>
        <v>13.0517578125</v>
      </c>
    </row>
    <row r="8" spans="3:15" ht="13.5" thickBot="1">
      <c r="C8" s="23">
        <f>Control!B9</f>
        <v>1</v>
      </c>
      <c r="D8" s="6">
        <f>Control!C9</f>
        <v>2006</v>
      </c>
      <c r="E8" s="46"/>
      <c r="F8" s="46"/>
      <c r="G8" s="46"/>
      <c r="H8" s="46"/>
      <c r="I8" s="46"/>
      <c r="J8" s="47">
        <f>SUMPRODUCT($C8,Control!I9)</f>
        <v>50</v>
      </c>
      <c r="K8" s="47">
        <f>SUMPRODUCT($C8,Control!J9)</f>
        <v>37.5</v>
      </c>
      <c r="L8" s="47">
        <f>SUMPRODUCT($C8,Control!K9)</f>
        <v>28.125</v>
      </c>
      <c r="M8" s="47">
        <f>SUMPRODUCT($C8,Control!L9)</f>
        <v>21.09375</v>
      </c>
      <c r="N8" s="47">
        <f>SUMPRODUCT($C8,Control!M9)</f>
        <v>15.8203125</v>
      </c>
      <c r="O8" s="48">
        <f>SUMPRODUCT($C8,Control!N9)</f>
        <v>11.865234375</v>
      </c>
    </row>
    <row r="11" spans="3:15" ht="12.75">
      <c r="C11" t="s">
        <v>48</v>
      </c>
      <c r="D11" s="37"/>
      <c r="E11" s="37">
        <f>IF(Control!D$29&lt;0,Control!D29,0)</f>
        <v>-420.75</v>
      </c>
      <c r="F11" s="37">
        <f>IF(Control!E$29&lt;0,Control!E29,0)</f>
        <v>-181.11076692187498</v>
      </c>
      <c r="G11" s="37">
        <f>IF(Control!F$29&lt;0,Control!F29,0)</f>
        <v>0</v>
      </c>
      <c r="H11" s="37">
        <f>IF(Control!G$29&lt;0,Control!G29,0)</f>
        <v>0</v>
      </c>
      <c r="I11" s="37">
        <f>IF(Control!H$29&lt;0,Control!H29,0)</f>
        <v>0</v>
      </c>
      <c r="J11" s="37">
        <f>IF(Control!I$29&lt;0,Control!I29,0)</f>
        <v>0</v>
      </c>
      <c r="K11" s="37">
        <f>IF(Control!J$29&lt;0,Control!J29,0)</f>
        <v>0</v>
      </c>
      <c r="L11" s="37">
        <f>IF(Control!K$29&lt;0,Control!K29,0)</f>
        <v>0</v>
      </c>
      <c r="M11" s="37">
        <f>IF(Control!L$29&lt;0,Control!L29,0)</f>
        <v>0</v>
      </c>
      <c r="N11" s="37">
        <f>IF(Control!M$29&lt;0,Control!M29,0)</f>
        <v>0</v>
      </c>
      <c r="O11" s="37">
        <f>IF(Control!N$29&lt;0,Control!N29,0)</f>
        <v>0</v>
      </c>
    </row>
    <row r="12" spans="3:15" ht="12.75">
      <c r="C12" t="s">
        <v>49</v>
      </c>
      <c r="E12" s="37">
        <f>IF(Control!D$29&gt;=0,Control!D29,0)</f>
        <v>0</v>
      </c>
      <c r="F12" s="37">
        <f>IF(Control!E$29&gt;=0,Control!E29,0)</f>
        <v>0</v>
      </c>
      <c r="G12" s="37">
        <f>IF(Control!F$29&gt;=0,Control!F29,0)</f>
        <v>43.70761533750016</v>
      </c>
      <c r="H12" s="37">
        <f>IF(Control!G$29&gt;=0,Control!G29,0)</f>
        <v>578.0271173015626</v>
      </c>
      <c r="I12" s="37">
        <f>IF(Control!H$29&gt;=0,Control!H29,0)</f>
        <v>634.8638188593748</v>
      </c>
      <c r="J12" s="37">
        <f>IF(Control!I$29&gt;=0,Control!I29,0)</f>
        <v>2303.7319157062498</v>
      </c>
      <c r="K12" s="37">
        <f>IF(Control!J$29&gt;=0,Control!J29,0)</f>
        <v>1720.3107711549842</v>
      </c>
      <c r="L12" s="37">
        <f>IF(Control!K$29&gt;=0,Control!K29,0)</f>
        <v>1281.542423066625</v>
      </c>
      <c r="M12" s="37">
        <f>IF(Control!L$29&gt;=0,Control!L29,0)</f>
        <v>947.414162992971</v>
      </c>
      <c r="N12" s="37">
        <f>IF(Control!M$29&gt;=0,Control!M29,0)</f>
        <v>698.9348069705306</v>
      </c>
      <c r="O12" s="37">
        <f>IF(Control!N$29&gt;=0,Control!N29,0)</f>
        <v>506.1230664323681</v>
      </c>
    </row>
    <row r="13" spans="3:15" ht="12.75">
      <c r="C13" t="s">
        <v>47</v>
      </c>
      <c r="D13" s="37"/>
      <c r="E13" s="37">
        <f>IF(Control!D$30&lt;0,Control!D30,0)</f>
        <v>-420.75</v>
      </c>
      <c r="F13" s="37">
        <f>IF(Control!E$30&lt;0,Control!E30,0)</f>
        <v>-578.237623410326</v>
      </c>
      <c r="G13" s="37">
        <f>IF(Control!F$30&lt;0,Control!F30,0)</f>
        <v>-545.1883868602314</v>
      </c>
      <c r="H13" s="37">
        <f>IF(Control!G$30&lt;0,Control!G30,0)</f>
        <v>-165.12617444858503</v>
      </c>
      <c r="I13" s="37">
        <f>IF(Control!H$30&lt;0,Control!H30,0)</f>
        <v>0</v>
      </c>
      <c r="J13" s="37">
        <f>IF(Control!I$30&lt;0,Control!I30,0)</f>
        <v>0</v>
      </c>
      <c r="K13" s="37">
        <f>IF(Control!J$30&lt;0,Control!J30,0)</f>
        <v>0</v>
      </c>
      <c r="L13" s="37">
        <f>IF(Control!K$30&lt;0,Control!K30,0)</f>
        <v>0</v>
      </c>
      <c r="M13" s="37">
        <f>IF(Control!L$30&lt;0,Control!L30,0)</f>
        <v>0</v>
      </c>
      <c r="N13" s="37">
        <f>IF(Control!M$30&lt;0,Control!M30,0)</f>
        <v>0</v>
      </c>
      <c r="O13" s="37">
        <f>IF(Control!N$30&lt;0,Control!N30,0)</f>
        <v>0</v>
      </c>
    </row>
    <row r="14" spans="3:15" ht="12.75">
      <c r="C14" t="s">
        <v>46</v>
      </c>
      <c r="E14" s="37">
        <f>IF(Control!D$30&gt;=0,Control!D30,0)</f>
        <v>0</v>
      </c>
      <c r="F14" s="37">
        <f>IF(Control!E$30&gt;=0,Control!E30,0)</f>
        <v>0</v>
      </c>
      <c r="G14" s="37">
        <f>IF(Control!F$30&gt;=0,Control!F30,0)</f>
        <v>0</v>
      </c>
      <c r="H14" s="37">
        <f>IF(Control!G$30&gt;=0,Control!G30,0)</f>
        <v>0</v>
      </c>
      <c r="I14" s="37">
        <f>IF(Control!H$30&gt;=0,Control!H30,0)</f>
        <v>197.85927449385008</v>
      </c>
      <c r="J14" s="37">
        <f>IF(Control!I$30&gt;=0,Control!I30,0)</f>
        <v>1343.2211873471585</v>
      </c>
      <c r="K14" s="37">
        <f>IF(Control!J$30&gt;=0,Control!J30,0)</f>
        <v>2086.9590072613487</v>
      </c>
      <c r="L14" s="37">
        <f>IF(Control!K$30&gt;=0,Control!K30,0)</f>
        <v>2568.738272324883</v>
      </c>
      <c r="M14" s="37">
        <f>IF(Control!L$30&gt;=0,Control!L30,0)</f>
        <v>2878.4496427742674</v>
      </c>
      <c r="N14" s="37">
        <f>IF(Control!M$30&gt;=0,Control!M30,0)</f>
        <v>3077.130536862524</v>
      </c>
      <c r="O14" s="37">
        <f>IF(Control!N$30&gt;=0,Control!N30,0)</f>
        <v>3202.2364183001064</v>
      </c>
    </row>
    <row r="15" spans="3:15" ht="12.75">
      <c r="C15" t="s">
        <v>50</v>
      </c>
      <c r="D15" s="37"/>
      <c r="E15" s="37">
        <f>IF(Control!D$36&lt;0,Control!D36,0)</f>
        <v>-74.26419646500001</v>
      </c>
      <c r="F15" s="37">
        <f>IF(Control!E$36&lt;0,Control!E36,0)</f>
        <v>-31.11335173520314</v>
      </c>
      <c r="G15" s="37">
        <f>IF(Control!F$36&lt;0,Control!F36,0)</f>
        <v>0</v>
      </c>
      <c r="H15" s="37">
        <f>IF(Control!G$36&lt;0,Control!G36,0)</f>
        <v>0</v>
      </c>
      <c r="I15" s="37">
        <f>IF(Control!H$36&lt;0,Control!H36,0)</f>
        <v>0</v>
      </c>
      <c r="J15" s="37">
        <f>IF(Control!I$36&lt;0,Control!I36,0)</f>
        <v>0</v>
      </c>
      <c r="K15" s="37">
        <f>IF(Control!J$36&lt;0,Control!J36,0)</f>
        <v>0</v>
      </c>
      <c r="L15" s="37">
        <f>IF(Control!K$36&lt;0,Control!K36,0)</f>
        <v>0</v>
      </c>
      <c r="M15" s="37">
        <f>IF(Control!L$36&lt;0,Control!L36,0)</f>
        <v>0</v>
      </c>
      <c r="N15" s="37">
        <f>IF(Control!M$36&lt;0,Control!M36,0)</f>
        <v>0</v>
      </c>
      <c r="O15" s="37">
        <f>IF(Control!N$36&lt;0,Control!N36,0)</f>
        <v>0</v>
      </c>
    </row>
    <row r="16" spans="3:15" ht="12.75">
      <c r="C16" t="s">
        <v>51</v>
      </c>
      <c r="E16" s="37">
        <f>IF(Control!D$36&gt;=0,Control!D36,0)</f>
        <v>0</v>
      </c>
      <c r="F16" s="37">
        <f>IF(Control!E$36&gt;=0,Control!E36,0)</f>
        <v>0</v>
      </c>
      <c r="G16" s="37">
        <f>IF(Control!F$36&gt;=0,Control!F36,0)</f>
        <v>282.97300964875933</v>
      </c>
      <c r="H16" s="37">
        <f>IF(Control!G$36&gt;=0,Control!G36,0)</f>
        <v>1053.4090907027953</v>
      </c>
      <c r="I16" s="37">
        <f>IF(Control!H$36&gt;=0,Control!H36,0)</f>
        <v>1875.8204138355607</v>
      </c>
      <c r="J16" s="37">
        <f>IF(Control!I$36&gt;=0,Control!I36,0)</f>
        <v>4607.859236953204</v>
      </c>
      <c r="K16" s="37">
        <f>IF(Control!J$36&gt;=0,Control!J36,0)</f>
        <v>6633.579139616353</v>
      </c>
      <c r="L16" s="37">
        <f>IF(Control!K$36&gt;=0,Control!K36,0)</f>
        <v>8134.298544251587</v>
      </c>
      <c r="M16" s="37">
        <f>IF(Control!L$36&gt;=0,Control!L36,0)</f>
        <v>9246.098942708037</v>
      </c>
      <c r="N16" s="37">
        <f>IF(Control!M$36&gt;=0,Control!M36,0)</f>
        <v>10068.749698073287</v>
      </c>
      <c r="O16" s="37">
        <f>IF(Control!N$36&gt;=0,Control!N36,0)</f>
        <v>10678.504475365633</v>
      </c>
    </row>
    <row r="36" spans="2:18" ht="12.75">
      <c r="B36" t="str">
        <f>"NPV = $"&amp;ROUND(Charts!C39,0)&amp;""</f>
        <v>NPV = $4025</v>
      </c>
      <c r="R36" t="str">
        <f>"IRR = "&amp;ROUND(Control!N31*100,0)&amp;"%"</f>
        <v>IRR = 68%</v>
      </c>
    </row>
    <row r="38" spans="1:3" ht="12.75">
      <c r="A38" s="31" t="s">
        <v>30</v>
      </c>
      <c r="C38" s="32">
        <f>Control!N36</f>
        <v>10678.504475365633</v>
      </c>
    </row>
    <row r="39" spans="1:3" ht="12.75">
      <c r="A39" t="s">
        <v>31</v>
      </c>
      <c r="B39" s="2">
        <f>Show!C17</f>
        <v>0.15</v>
      </c>
      <c r="C39" s="32">
        <f>NPV(B39,Control!D39:N39)</f>
        <v>4025.1236632872588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Gaffney, Cline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Ruggrieo</dc:creator>
  <cp:keywords/>
  <dc:description/>
  <cp:lastModifiedBy>Bob George</cp:lastModifiedBy>
  <dcterms:created xsi:type="dcterms:W3CDTF">2007-10-24T19:32:49Z</dcterms:created>
  <dcterms:modified xsi:type="dcterms:W3CDTF">2007-11-01T16:39:09Z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